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codeName="ThisWorkbook"/>
  <xr:revisionPtr revIDLastSave="0" documentId="13_ncr:1_{ADB9AF7F-65D4-4B0D-AAD8-BC7640DA408B}" xr6:coauthVersionLast="47" xr6:coauthVersionMax="47" xr10:uidLastSave="{00000000-0000-0000-0000-000000000000}"/>
  <workbookProtection workbookAlgorithmName="SHA-512" workbookHashValue="NOYmvJ+rbrabHO8IONsVkvAbiZvRDWWE80DGOgbhLtFTxt5ysgLkY0xiFWfOw4GwBPbV7me/9g44VIp0LrTXRA==" workbookSaltValue="a+vIaBoxg9KylGrtm8RAEA==" workbookSpinCount="100000" lockStructure="1"/>
  <bookViews>
    <workbookView xWindow="-105" yWindow="0" windowWidth="38610" windowHeight="20985" tabRatio="760" activeTab="1" xr2:uid="{00000000-000D-0000-FFFF-FFFF00000000}"/>
  </bookViews>
  <sheets>
    <sheet name="Barema" sheetId="1" r:id="rId1"/>
    <sheet name="Data" sheetId="2" r:id="rId2"/>
    <sheet name="Jan" sheetId="3" r:id="rId3"/>
    <sheet name="Feb" sheetId="4" r:id="rId4"/>
    <sheet name="Mar" sheetId="5" r:id="rId5"/>
    <sheet name="Apr" sheetId="6" r:id="rId6"/>
    <sheet name="Mei" sheetId="7" r:id="rId7"/>
    <sheet name="Jun" sheetId="8" r:id="rId8"/>
    <sheet name="Jul" sheetId="9" r:id="rId9"/>
    <sheet name="Aug" sheetId="10" r:id="rId10"/>
    <sheet name="Sep" sheetId="11" r:id="rId11"/>
    <sheet name="Okt" sheetId="12" r:id="rId12"/>
    <sheet name="Nov" sheetId="13" r:id="rId13"/>
    <sheet name="Dec" sheetId="14" r:id="rId14"/>
    <sheet name="Ex-Gd" sheetId="15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0" i="3" l="1"/>
  <c r="AW34" i="14" l="1"/>
  <c r="AW32" i="14"/>
  <c r="AW27" i="14"/>
  <c r="AW25" i="14"/>
  <c r="AW20" i="14"/>
  <c r="AW18" i="14"/>
  <c r="AW13" i="14"/>
  <c r="AW11" i="14"/>
  <c r="U34" i="14"/>
  <c r="U27" i="14"/>
  <c r="U20" i="14"/>
  <c r="U13" i="14"/>
  <c r="L32" i="14"/>
  <c r="U32" i="14" s="1"/>
  <c r="L25" i="14"/>
  <c r="U25" i="14" s="1"/>
  <c r="L18" i="14"/>
  <c r="U18" i="14" s="1"/>
  <c r="L11" i="14"/>
  <c r="U11" i="14" s="1"/>
  <c r="AW8" i="13"/>
  <c r="U36" i="13"/>
  <c r="U29" i="13"/>
  <c r="U22" i="13"/>
  <c r="U15" i="13"/>
  <c r="U8" i="13"/>
  <c r="L34" i="13"/>
  <c r="U34" i="13" s="1"/>
  <c r="L27" i="13"/>
  <c r="U27" i="13" s="1"/>
  <c r="L20" i="13"/>
  <c r="U20" i="13" s="1"/>
  <c r="L13" i="13"/>
  <c r="U13" i="13" s="1"/>
  <c r="U32" i="12"/>
  <c r="U25" i="12"/>
  <c r="U18" i="12"/>
  <c r="U11" i="12"/>
  <c r="L37" i="12"/>
  <c r="U37" i="12" s="1"/>
  <c r="L30" i="12"/>
  <c r="U30" i="12" s="1"/>
  <c r="L23" i="12"/>
  <c r="U23" i="12" s="1"/>
  <c r="L16" i="12"/>
  <c r="U16" i="12" s="1"/>
  <c r="L9" i="12"/>
  <c r="U9" i="12" s="1"/>
  <c r="AW34" i="11"/>
  <c r="AW32" i="11"/>
  <c r="AW27" i="11"/>
  <c r="AW25" i="11"/>
  <c r="AW20" i="11"/>
  <c r="AW18" i="11"/>
  <c r="AW13" i="11"/>
  <c r="AW11" i="11"/>
  <c r="U34" i="11"/>
  <c r="U27" i="11"/>
  <c r="U20" i="11"/>
  <c r="U13" i="11"/>
  <c r="L32" i="11"/>
  <c r="U32" i="11" s="1"/>
  <c r="L25" i="11"/>
  <c r="U25" i="11" s="1"/>
  <c r="L18" i="11"/>
  <c r="U18" i="11" s="1"/>
  <c r="L11" i="11"/>
  <c r="U11" i="11" s="1"/>
  <c r="AW37" i="10"/>
  <c r="AW35" i="10"/>
  <c r="AW30" i="10"/>
  <c r="AW28" i="10"/>
  <c r="AW23" i="10"/>
  <c r="AW21" i="10"/>
  <c r="AW16" i="10"/>
  <c r="AW14" i="10"/>
  <c r="AW9" i="10"/>
  <c r="AW7" i="10"/>
  <c r="U37" i="10"/>
  <c r="U30" i="10"/>
  <c r="U23" i="10"/>
  <c r="U16" i="10"/>
  <c r="U9" i="10"/>
  <c r="L35" i="10"/>
  <c r="U35" i="10" s="1"/>
  <c r="L28" i="10"/>
  <c r="U28" i="10" s="1"/>
  <c r="L21" i="10"/>
  <c r="U21" i="10" s="1"/>
  <c r="L14" i="10"/>
  <c r="U14" i="10" s="1"/>
  <c r="L7" i="10"/>
  <c r="U7" i="10" s="1"/>
  <c r="AW26" i="9"/>
  <c r="AW24" i="9"/>
  <c r="AW19" i="9"/>
  <c r="AW17" i="9"/>
  <c r="AW12" i="9"/>
  <c r="AW10" i="9"/>
  <c r="U33" i="9"/>
  <c r="U31" i="9"/>
  <c r="U26" i="9"/>
  <c r="U19" i="9"/>
  <c r="U12" i="9"/>
  <c r="L31" i="9"/>
  <c r="L24" i="9"/>
  <c r="U24" i="9" s="1"/>
  <c r="L17" i="9"/>
  <c r="U17" i="9" s="1"/>
  <c r="L10" i="9"/>
  <c r="U10" i="9" s="1"/>
  <c r="AW7" i="8"/>
  <c r="U35" i="8"/>
  <c r="U28" i="8"/>
  <c r="U21" i="8"/>
  <c r="U14" i="8"/>
  <c r="U7" i="8"/>
  <c r="L33" i="8"/>
  <c r="U33" i="8" s="1"/>
  <c r="L26" i="8"/>
  <c r="U26" i="8" s="1"/>
  <c r="L19" i="8"/>
  <c r="U19" i="8" s="1"/>
  <c r="L12" i="8"/>
  <c r="U12" i="8" s="1"/>
  <c r="U24" i="7"/>
  <c r="U17" i="7"/>
  <c r="U10" i="7"/>
  <c r="L36" i="7"/>
  <c r="U36" i="7" s="1"/>
  <c r="L29" i="7"/>
  <c r="U29" i="7" s="1"/>
  <c r="L22" i="7"/>
  <c r="U22" i="7" s="1"/>
  <c r="L15" i="7"/>
  <c r="U15" i="7" s="1"/>
  <c r="L8" i="7"/>
  <c r="U8" i="7" s="1"/>
  <c r="AW12" i="6"/>
  <c r="AW10" i="6"/>
  <c r="U33" i="6"/>
  <c r="U26" i="6"/>
  <c r="U19" i="6"/>
  <c r="L31" i="6"/>
  <c r="U31" i="6" s="1"/>
  <c r="L24" i="6"/>
  <c r="U24" i="6" s="1"/>
  <c r="L17" i="6"/>
  <c r="U17" i="6" s="1"/>
  <c r="L10" i="6"/>
  <c r="U10" i="6" s="1"/>
  <c r="AW36" i="5"/>
  <c r="AW34" i="5"/>
  <c r="AW29" i="5"/>
  <c r="AW27" i="5"/>
  <c r="AW22" i="5"/>
  <c r="AW20" i="5"/>
  <c r="AW15" i="5"/>
  <c r="AW13" i="5"/>
  <c r="AW8" i="5"/>
  <c r="U36" i="5"/>
  <c r="U29" i="5"/>
  <c r="U22" i="5"/>
  <c r="U15" i="5"/>
  <c r="U8" i="5" a="1"/>
  <c r="U8" i="5" s="1"/>
  <c r="L34" i="5"/>
  <c r="U34" i="5" s="1"/>
  <c r="L27" i="5"/>
  <c r="U27" i="5" s="1"/>
  <c r="L20" i="5"/>
  <c r="U20" i="5" s="1"/>
  <c r="L13" i="5"/>
  <c r="U13" i="5" s="1"/>
  <c r="AW34" i="4"/>
  <c r="AW29" i="4"/>
  <c r="AW27" i="4"/>
  <c r="AW22" i="4"/>
  <c r="AW20" i="4"/>
  <c r="AW15" i="4"/>
  <c r="AW13" i="4"/>
  <c r="AW8" i="4"/>
  <c r="U29" i="4"/>
  <c r="U22" i="4"/>
  <c r="U15" i="4"/>
  <c r="U8" i="4"/>
  <c r="L34" i="4"/>
  <c r="U34" i="4" s="1"/>
  <c r="L27" i="4"/>
  <c r="U27" i="4" s="1"/>
  <c r="L20" i="4"/>
  <c r="U20" i="4" s="1"/>
  <c r="L13" i="4"/>
  <c r="U13" i="4" s="1"/>
  <c r="U32" i="3"/>
  <c r="U25" i="3"/>
  <c r="U18" i="3"/>
  <c r="U11" i="3"/>
  <c r="L37" i="3"/>
  <c r="U37" i="3" s="1"/>
  <c r="L30" i="3"/>
  <c r="U30" i="3" s="1"/>
  <c r="L23" i="3"/>
  <c r="U23" i="3" s="1"/>
  <c r="L16" i="3"/>
  <c r="U16" i="3" s="1"/>
  <c r="L9" i="3"/>
  <c r="U9" i="3" s="1"/>
  <c r="N7" i="5" l="1"/>
  <c r="U12" i="5" l="1" a="1"/>
  <c r="U12" i="5" s="1"/>
  <c r="U11" i="5" a="1"/>
  <c r="U11" i="5" s="1"/>
  <c r="U9" i="5" a="1"/>
  <c r="U9" i="5" s="1"/>
  <c r="U10" i="5" a="1"/>
  <c r="U10" i="5" s="1"/>
  <c r="U33" i="3" l="1"/>
  <c r="U34" i="3"/>
  <c r="U26" i="3"/>
  <c r="U27" i="3"/>
  <c r="U19" i="3"/>
  <c r="U20" i="3"/>
  <c r="U12" i="3"/>
  <c r="U13" i="3"/>
  <c r="L28" i="4" l="1"/>
  <c r="L21" i="4"/>
  <c r="L14" i="4"/>
  <c r="L7" i="4"/>
  <c r="AE53" i="4"/>
  <c r="M49" i="4"/>
  <c r="AY51" i="14"/>
  <c r="AY50" i="14"/>
  <c r="AY49" i="14"/>
  <c r="AY48" i="14"/>
  <c r="AY47" i="14"/>
  <c r="AY46" i="14"/>
  <c r="AY45" i="14"/>
  <c r="AY44" i="14"/>
  <c r="AY43" i="14"/>
  <c r="AY42" i="14"/>
  <c r="AY41" i="14"/>
  <c r="AY40" i="14"/>
  <c r="AY39" i="14"/>
  <c r="AY38" i="14"/>
  <c r="AY37" i="14"/>
  <c r="AY36" i="14"/>
  <c r="AY35" i="14"/>
  <c r="AY34" i="14"/>
  <c r="AY33" i="14"/>
  <c r="AY32" i="14"/>
  <c r="AY31" i="14"/>
  <c r="AY30" i="14"/>
  <c r="AY29" i="14"/>
  <c r="AY28" i="14"/>
  <c r="AY27" i="14"/>
  <c r="AY26" i="14"/>
  <c r="AY25" i="14"/>
  <c r="AY24" i="14"/>
  <c r="AY23" i="14"/>
  <c r="AY22" i="14"/>
  <c r="AY21" i="14"/>
  <c r="AY20" i="14"/>
  <c r="AY19" i="14"/>
  <c r="AY18" i="14"/>
  <c r="AY17" i="14"/>
  <c r="AY16" i="14"/>
  <c r="AY15" i="14"/>
  <c r="AY14" i="14"/>
  <c r="AY13" i="14"/>
  <c r="AY12" i="14"/>
  <c r="AY11" i="14"/>
  <c r="AY10" i="14"/>
  <c r="AY9" i="14"/>
  <c r="AY8" i="14"/>
  <c r="AY7" i="14"/>
  <c r="AY51" i="13"/>
  <c r="AY50" i="13"/>
  <c r="AY49" i="13"/>
  <c r="AY48" i="13"/>
  <c r="AY47" i="13"/>
  <c r="AY46" i="13"/>
  <c r="AY45" i="13"/>
  <c r="AY44" i="13"/>
  <c r="AY43" i="13"/>
  <c r="AY42" i="13"/>
  <c r="AY41" i="13"/>
  <c r="AY40" i="13"/>
  <c r="AY39" i="13"/>
  <c r="AY38" i="13"/>
  <c r="AY37" i="13"/>
  <c r="AY36" i="13"/>
  <c r="AY35" i="13"/>
  <c r="AY34" i="13"/>
  <c r="AY33" i="13"/>
  <c r="AY32" i="13"/>
  <c r="AY31" i="13"/>
  <c r="AY30" i="13"/>
  <c r="AY29" i="13"/>
  <c r="AY28" i="13"/>
  <c r="AY27" i="13"/>
  <c r="AY26" i="13"/>
  <c r="AY25" i="13"/>
  <c r="AY24" i="13"/>
  <c r="AY22" i="13"/>
  <c r="AY21" i="13"/>
  <c r="AY20" i="13"/>
  <c r="AY19" i="13"/>
  <c r="AY18" i="13"/>
  <c r="AY17" i="13"/>
  <c r="AY16" i="13"/>
  <c r="AY15" i="13"/>
  <c r="AY14" i="13"/>
  <c r="AY13" i="13"/>
  <c r="AY12" i="13"/>
  <c r="AY11" i="13"/>
  <c r="AY10" i="13"/>
  <c r="AY9" i="13"/>
  <c r="AY23" i="13"/>
  <c r="AY8" i="13"/>
  <c r="AY7" i="13"/>
  <c r="AY23" i="12"/>
  <c r="AY51" i="12"/>
  <c r="AY50" i="12"/>
  <c r="AY49" i="12"/>
  <c r="AY48" i="12"/>
  <c r="AY47" i="12"/>
  <c r="AY46" i="12"/>
  <c r="AY45" i="12"/>
  <c r="AY44" i="12"/>
  <c r="AY43" i="12"/>
  <c r="AY42" i="12"/>
  <c r="AY41" i="12"/>
  <c r="AY40" i="12"/>
  <c r="AY39" i="12"/>
  <c r="AY38" i="12"/>
  <c r="AY37" i="12"/>
  <c r="AY36" i="12"/>
  <c r="AY35" i="12"/>
  <c r="AY34" i="12"/>
  <c r="AY33" i="12"/>
  <c r="AY32" i="12"/>
  <c r="AY31" i="12"/>
  <c r="AY30" i="12"/>
  <c r="AY29" i="12"/>
  <c r="AY28" i="12"/>
  <c r="AY27" i="12"/>
  <c r="AY26" i="12"/>
  <c r="AY25" i="12"/>
  <c r="AY24" i="12"/>
  <c r="AY22" i="12"/>
  <c r="AY21" i="12"/>
  <c r="AY20" i="12"/>
  <c r="AY19" i="12"/>
  <c r="AY18" i="12"/>
  <c r="AY17" i="12"/>
  <c r="AY16" i="12"/>
  <c r="AY15" i="12"/>
  <c r="AY14" i="12"/>
  <c r="AY13" i="12"/>
  <c r="AY12" i="12"/>
  <c r="AY11" i="12"/>
  <c r="AY10" i="12"/>
  <c r="AY9" i="12"/>
  <c r="AY8" i="12"/>
  <c r="AY7" i="12"/>
  <c r="U30" i="4"/>
  <c r="U31" i="4"/>
  <c r="U23" i="4"/>
  <c r="U24" i="4"/>
  <c r="U16" i="4"/>
  <c r="U17" i="4"/>
  <c r="U9" i="4"/>
  <c r="U10" i="4"/>
  <c r="AE52" i="4"/>
  <c r="AW7" i="14" l="1"/>
  <c r="U35" i="14"/>
  <c r="U28" i="14"/>
  <c r="U21" i="14"/>
  <c r="U14" i="14"/>
  <c r="U7" i="14"/>
  <c r="L33" i="14"/>
  <c r="U33" i="14" s="1"/>
  <c r="L26" i="14"/>
  <c r="U26" i="14" s="1"/>
  <c r="L19" i="14"/>
  <c r="U19" i="14" s="1"/>
  <c r="L12" i="14"/>
  <c r="U12" i="14" s="1"/>
  <c r="AW9" i="13"/>
  <c r="AW7" i="13"/>
  <c r="AW7" i="4"/>
  <c r="U30" i="13"/>
  <c r="U23" i="13"/>
  <c r="U9" i="13"/>
  <c r="L35" i="13"/>
  <c r="U35" i="13" s="1"/>
  <c r="L28" i="13"/>
  <c r="U28" i="13" s="1"/>
  <c r="L21" i="13"/>
  <c r="U21" i="13" s="1"/>
  <c r="L14" i="13"/>
  <c r="U14" i="13" s="1"/>
  <c r="L7" i="13"/>
  <c r="U7" i="13" s="1"/>
  <c r="U33" i="12"/>
  <c r="U26" i="12"/>
  <c r="U19" i="12"/>
  <c r="U12" i="12"/>
  <c r="L31" i="12"/>
  <c r="U31" i="12" s="1"/>
  <c r="L24" i="12"/>
  <c r="U24" i="12" s="1"/>
  <c r="L17" i="12"/>
  <c r="U17" i="12" s="1"/>
  <c r="L10" i="12"/>
  <c r="U10" i="12" s="1"/>
  <c r="AW7" i="11"/>
  <c r="U35" i="11"/>
  <c r="U28" i="11"/>
  <c r="U21" i="11"/>
  <c r="U14" i="11"/>
  <c r="U7" i="11"/>
  <c r="L33" i="11"/>
  <c r="U33" i="11" s="1"/>
  <c r="L26" i="11"/>
  <c r="U26" i="11" s="1"/>
  <c r="L19" i="11"/>
  <c r="U19" i="11" s="1"/>
  <c r="L12" i="11"/>
  <c r="U12" i="11" s="1"/>
  <c r="U31" i="10"/>
  <c r="U24" i="10"/>
  <c r="U17" i="10"/>
  <c r="U10" i="10"/>
  <c r="L36" i="10"/>
  <c r="U36" i="10" s="1"/>
  <c r="L29" i="10"/>
  <c r="U29" i="10" s="1"/>
  <c r="L22" i="10"/>
  <c r="U22" i="10" s="1"/>
  <c r="L15" i="10"/>
  <c r="U15" i="10" s="1"/>
  <c r="L8" i="10"/>
  <c r="U8" i="10" s="1"/>
  <c r="U34" i="9"/>
  <c r="U20" i="9"/>
  <c r="U13" i="9"/>
  <c r="L32" i="9"/>
  <c r="U32" i="9" s="1"/>
  <c r="L25" i="9"/>
  <c r="U25" i="9" s="1"/>
  <c r="L18" i="9"/>
  <c r="U18" i="9" s="1"/>
  <c r="L11" i="9"/>
  <c r="U11" i="9" s="1"/>
  <c r="U36" i="8"/>
  <c r="U29" i="8"/>
  <c r="U22" i="8"/>
  <c r="U15" i="8"/>
  <c r="U8" i="8"/>
  <c r="L34" i="8"/>
  <c r="U34" i="8" s="1"/>
  <c r="L27" i="8"/>
  <c r="U27" i="8" s="1"/>
  <c r="L20" i="8"/>
  <c r="U20" i="8" s="1"/>
  <c r="L13" i="8"/>
  <c r="U13" i="8" s="1"/>
  <c r="U32" i="7"/>
  <c r="U25" i="7"/>
  <c r="U18" i="7"/>
  <c r="U11" i="7"/>
  <c r="L37" i="7"/>
  <c r="U37" i="7" s="1"/>
  <c r="L30" i="7"/>
  <c r="U30" i="7" s="1"/>
  <c r="L23" i="7"/>
  <c r="U23" i="7" s="1"/>
  <c r="L16" i="7"/>
  <c r="U16" i="7" s="1"/>
  <c r="L9" i="7"/>
  <c r="U9" i="7" s="1"/>
  <c r="U34" i="6"/>
  <c r="U20" i="6"/>
  <c r="U13" i="6"/>
  <c r="L32" i="6"/>
  <c r="U32" i="6" s="1"/>
  <c r="L25" i="6"/>
  <c r="U25" i="6" s="1"/>
  <c r="L18" i="6"/>
  <c r="U18" i="6" s="1"/>
  <c r="L11" i="6"/>
  <c r="U11" i="6" s="1"/>
  <c r="AW9" i="5"/>
  <c r="AW7" i="5"/>
  <c r="AW9" i="4"/>
  <c r="AW10" i="4" s="1"/>
  <c r="U37" i="5"/>
  <c r="U30" i="5"/>
  <c r="U23" i="5"/>
  <c r="U16" i="5"/>
  <c r="L35" i="5"/>
  <c r="U35" i="5" s="1"/>
  <c r="L28" i="5"/>
  <c r="U28" i="5" s="1"/>
  <c r="L21" i="5"/>
  <c r="U21" i="5" s="1"/>
  <c r="L14" i="5"/>
  <c r="U14" i="5" s="1"/>
  <c r="L7" i="5"/>
  <c r="U7" i="5" s="1"/>
  <c r="L31" i="3"/>
  <c r="U31" i="3" s="1"/>
  <c r="L24" i="3"/>
  <c r="U24" i="3" s="1"/>
  <c r="L17" i="3"/>
  <c r="U17" i="3" s="1"/>
  <c r="L10" i="3"/>
  <c r="U10" i="3" s="1"/>
  <c r="AY41" i="11"/>
  <c r="AY23" i="11"/>
  <c r="AY21" i="11"/>
  <c r="AY41" i="10"/>
  <c r="AY23" i="10"/>
  <c r="AY21" i="10"/>
  <c r="AY41" i="9"/>
  <c r="AY21" i="9"/>
  <c r="AY23" i="9"/>
  <c r="AY41" i="8"/>
  <c r="AY23" i="8"/>
  <c r="AY21" i="8"/>
  <c r="AY23" i="7"/>
  <c r="AY21" i="7"/>
  <c r="AY41" i="6"/>
  <c r="AY23" i="6"/>
  <c r="AY21" i="6"/>
  <c r="AY41" i="5"/>
  <c r="AY23" i="5"/>
  <c r="AY21" i="5"/>
  <c r="AY41" i="4"/>
  <c r="AY23" i="4"/>
  <c r="AY21" i="4"/>
  <c r="AY41" i="3"/>
  <c r="AY23" i="3"/>
  <c r="AY21" i="3"/>
  <c r="AY35" i="4" l="1"/>
  <c r="AY34" i="4"/>
  <c r="AY33" i="4"/>
  <c r="AY51" i="11"/>
  <c r="AY50" i="11"/>
  <c r="AY49" i="11"/>
  <c r="AY48" i="11"/>
  <c r="AY47" i="11"/>
  <c r="AY46" i="11"/>
  <c r="AY45" i="11"/>
  <c r="AY44" i="11"/>
  <c r="AY43" i="11"/>
  <c r="AY42" i="11"/>
  <c r="AY40" i="11"/>
  <c r="AY39" i="11"/>
  <c r="AY38" i="11"/>
  <c r="AY37" i="11"/>
  <c r="AY36" i="11"/>
  <c r="AY35" i="11"/>
  <c r="AY34" i="11"/>
  <c r="AY33" i="11"/>
  <c r="AY32" i="11"/>
  <c r="AY31" i="11"/>
  <c r="AY30" i="11"/>
  <c r="AY29" i="11"/>
  <c r="AY28" i="11"/>
  <c r="AY27" i="11"/>
  <c r="AY26" i="11"/>
  <c r="AY25" i="11"/>
  <c r="AY24" i="11"/>
  <c r="AY22" i="11"/>
  <c r="AY20" i="11"/>
  <c r="AY19" i="11"/>
  <c r="AY18" i="11"/>
  <c r="AY17" i="11"/>
  <c r="AY16" i="11"/>
  <c r="AY15" i="11"/>
  <c r="AY14" i="11"/>
  <c r="AY13" i="11"/>
  <c r="AY12" i="11"/>
  <c r="AY11" i="11"/>
  <c r="AY10" i="11"/>
  <c r="AY9" i="11"/>
  <c r="AY8" i="11"/>
  <c r="AY7" i="11"/>
  <c r="AY51" i="10"/>
  <c r="AY50" i="10"/>
  <c r="AY49" i="10"/>
  <c r="AY48" i="10"/>
  <c r="AY47" i="10"/>
  <c r="AY46" i="10"/>
  <c r="AY45" i="10"/>
  <c r="AY44" i="10"/>
  <c r="AY43" i="10"/>
  <c r="AY42" i="10"/>
  <c r="AY40" i="10"/>
  <c r="AY39" i="10"/>
  <c r="AY38" i="10"/>
  <c r="AY37" i="10"/>
  <c r="AY36" i="10"/>
  <c r="AY35" i="10"/>
  <c r="AY34" i="10"/>
  <c r="AY33" i="10"/>
  <c r="AY32" i="10"/>
  <c r="AY31" i="10"/>
  <c r="AY30" i="10"/>
  <c r="AY29" i="10"/>
  <c r="AY28" i="10"/>
  <c r="AY27" i="10"/>
  <c r="AY26" i="10"/>
  <c r="AY25" i="10"/>
  <c r="AY24" i="10"/>
  <c r="AY22" i="10"/>
  <c r="AY20" i="10"/>
  <c r="AY19" i="10"/>
  <c r="AY18" i="10"/>
  <c r="AY17" i="10"/>
  <c r="AY16" i="10"/>
  <c r="AY15" i="10"/>
  <c r="AY14" i="10"/>
  <c r="AY13" i="10"/>
  <c r="AY12" i="10"/>
  <c r="AY11" i="10"/>
  <c r="AY10" i="10"/>
  <c r="AY9" i="10"/>
  <c r="AY8" i="10"/>
  <c r="AY7" i="10"/>
  <c r="AY51" i="9"/>
  <c r="AY50" i="9"/>
  <c r="AY49" i="9"/>
  <c r="AY48" i="9"/>
  <c r="AY47" i="9"/>
  <c r="AY46" i="9"/>
  <c r="AY45" i="9"/>
  <c r="AY44" i="9"/>
  <c r="AY43" i="9"/>
  <c r="AY42" i="9"/>
  <c r="AY40" i="9"/>
  <c r="AY39" i="9"/>
  <c r="AY38" i="9"/>
  <c r="AY37" i="9"/>
  <c r="AY36" i="9"/>
  <c r="AY35" i="9"/>
  <c r="AY34" i="9"/>
  <c r="AY33" i="9"/>
  <c r="AY32" i="9"/>
  <c r="AY31" i="9"/>
  <c r="AY30" i="9"/>
  <c r="AY29" i="9"/>
  <c r="AY28" i="9"/>
  <c r="AY27" i="9"/>
  <c r="AY26" i="9"/>
  <c r="AY25" i="9"/>
  <c r="AY24" i="9"/>
  <c r="AY22" i="9"/>
  <c r="AY20" i="9"/>
  <c r="AY19" i="9"/>
  <c r="AY18" i="9"/>
  <c r="AY17" i="9"/>
  <c r="AY16" i="9"/>
  <c r="AY15" i="9"/>
  <c r="AY14" i="9"/>
  <c r="AY13" i="9"/>
  <c r="AY12" i="9"/>
  <c r="AY11" i="9"/>
  <c r="AY10" i="9"/>
  <c r="AY9" i="9"/>
  <c r="AY8" i="9"/>
  <c r="AY7" i="9"/>
  <c r="AY51" i="8"/>
  <c r="AY50" i="8"/>
  <c r="AY49" i="8"/>
  <c r="AY48" i="8"/>
  <c r="AY47" i="8"/>
  <c r="AY46" i="8"/>
  <c r="AY45" i="8"/>
  <c r="AY44" i="8"/>
  <c r="AY43" i="8"/>
  <c r="AY42" i="8"/>
  <c r="AY40" i="8"/>
  <c r="AY39" i="8"/>
  <c r="AY38" i="8"/>
  <c r="AY37" i="8"/>
  <c r="AY36" i="8"/>
  <c r="AY35" i="8"/>
  <c r="AY34" i="8"/>
  <c r="AY33" i="8"/>
  <c r="AY32" i="8"/>
  <c r="AY31" i="8"/>
  <c r="AY30" i="8"/>
  <c r="AY29" i="8"/>
  <c r="AY28" i="8"/>
  <c r="AY27" i="8"/>
  <c r="AY26" i="8"/>
  <c r="AY25" i="8"/>
  <c r="AY24" i="8"/>
  <c r="AY22" i="8"/>
  <c r="AY20" i="8"/>
  <c r="AY19" i="8"/>
  <c r="AY18" i="8"/>
  <c r="AY17" i="8"/>
  <c r="AY16" i="8"/>
  <c r="AY15" i="8"/>
  <c r="AY14" i="8"/>
  <c r="AY13" i="8"/>
  <c r="AY12" i="8"/>
  <c r="AY11" i="8"/>
  <c r="AY10" i="8"/>
  <c r="AY9" i="8"/>
  <c r="AY8" i="8"/>
  <c r="AY7" i="8"/>
  <c r="AY51" i="7"/>
  <c r="AY50" i="7"/>
  <c r="AY49" i="7"/>
  <c r="AY48" i="7"/>
  <c r="AY47" i="7"/>
  <c r="AY46" i="7"/>
  <c r="AY45" i="7"/>
  <c r="AY44" i="7"/>
  <c r="AY43" i="7"/>
  <c r="AY42" i="7"/>
  <c r="AY41" i="7"/>
  <c r="AY40" i="7"/>
  <c r="AY39" i="7"/>
  <c r="AY38" i="7"/>
  <c r="AY37" i="7"/>
  <c r="AY36" i="7"/>
  <c r="AY35" i="7"/>
  <c r="AY34" i="7"/>
  <c r="AY33" i="7"/>
  <c r="AY32" i="7"/>
  <c r="AY31" i="7"/>
  <c r="AY30" i="7"/>
  <c r="AY29" i="7"/>
  <c r="AY28" i="7"/>
  <c r="AY27" i="7"/>
  <c r="AY26" i="7"/>
  <c r="AY25" i="7"/>
  <c r="AY24" i="7"/>
  <c r="AY22" i="7"/>
  <c r="AY20" i="7"/>
  <c r="AY19" i="7"/>
  <c r="AY18" i="7"/>
  <c r="AY17" i="7"/>
  <c r="AY16" i="7"/>
  <c r="AY15" i="7"/>
  <c r="AY14" i="7"/>
  <c r="AY13" i="7"/>
  <c r="AY12" i="7"/>
  <c r="AY11" i="7"/>
  <c r="AY10" i="7"/>
  <c r="AY9" i="7"/>
  <c r="AY8" i="7"/>
  <c r="AY7" i="7"/>
  <c r="AY37" i="6"/>
  <c r="AY51" i="6"/>
  <c r="AY50" i="6"/>
  <c r="AY49" i="6"/>
  <c r="AY48" i="6"/>
  <c r="AY47" i="6"/>
  <c r="AY46" i="6"/>
  <c r="AY45" i="6"/>
  <c r="AY44" i="6"/>
  <c r="AY43" i="6"/>
  <c r="AY42" i="6"/>
  <c r="AY40" i="6"/>
  <c r="AY39" i="6"/>
  <c r="AY38" i="6"/>
  <c r="AY36" i="6"/>
  <c r="AY35" i="6"/>
  <c r="AY34" i="6"/>
  <c r="AY33" i="6"/>
  <c r="AY32" i="6"/>
  <c r="AY31" i="6"/>
  <c r="AY30" i="6"/>
  <c r="AY29" i="6"/>
  <c r="AY28" i="6"/>
  <c r="AY27" i="6"/>
  <c r="AY26" i="6"/>
  <c r="AY25" i="6"/>
  <c r="AY24" i="6"/>
  <c r="AY22" i="6"/>
  <c r="AY19" i="6"/>
  <c r="AY18" i="6"/>
  <c r="AY17" i="6"/>
  <c r="AY16" i="6"/>
  <c r="AY15" i="6"/>
  <c r="AY14" i="6"/>
  <c r="AY13" i="6"/>
  <c r="AY12" i="6"/>
  <c r="AY11" i="6"/>
  <c r="AY10" i="6"/>
  <c r="AY20" i="6"/>
  <c r="AY9" i="6"/>
  <c r="AY8" i="6"/>
  <c r="AY7" i="6"/>
  <c r="AY51" i="5"/>
  <c r="AY50" i="5"/>
  <c r="AY49" i="5"/>
  <c r="AY48" i="5"/>
  <c r="AY47" i="5"/>
  <c r="AY46" i="5"/>
  <c r="AY45" i="5"/>
  <c r="AY44" i="5"/>
  <c r="AY43" i="5"/>
  <c r="AY42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2" i="5"/>
  <c r="AY20" i="5"/>
  <c r="AY19" i="5"/>
  <c r="AY18" i="5"/>
  <c r="AY17" i="5"/>
  <c r="AY16" i="5"/>
  <c r="AY15" i="5"/>
  <c r="AY14" i="5"/>
  <c r="AY13" i="5"/>
  <c r="AY12" i="5"/>
  <c r="AY11" i="5"/>
  <c r="AY10" i="5"/>
  <c r="AY9" i="5"/>
  <c r="AY8" i="5"/>
  <c r="AY7" i="5"/>
  <c r="AY51" i="4"/>
  <c r="AY50" i="4"/>
  <c r="AY49" i="4"/>
  <c r="AY48" i="4"/>
  <c r="AY47" i="4"/>
  <c r="AY46" i="4"/>
  <c r="AY45" i="4"/>
  <c r="AY44" i="4"/>
  <c r="AY43" i="4"/>
  <c r="AY42" i="4"/>
  <c r="AY40" i="4"/>
  <c r="AY39" i="4"/>
  <c r="AY38" i="4"/>
  <c r="AY37" i="4"/>
  <c r="AY36" i="4"/>
  <c r="AY32" i="4"/>
  <c r="AY31" i="4"/>
  <c r="AY30" i="4"/>
  <c r="AY29" i="4"/>
  <c r="AY28" i="4"/>
  <c r="AY27" i="4"/>
  <c r="AY26" i="4"/>
  <c r="AY25" i="4"/>
  <c r="AY24" i="4"/>
  <c r="AY22" i="4"/>
  <c r="AY20" i="4"/>
  <c r="AY19" i="4"/>
  <c r="AY18" i="4"/>
  <c r="AY17" i="4"/>
  <c r="AY16" i="4"/>
  <c r="AY15" i="4"/>
  <c r="AY14" i="4"/>
  <c r="AY13" i="4"/>
  <c r="AY12" i="4"/>
  <c r="AY11" i="4"/>
  <c r="AY10" i="4"/>
  <c r="AY9" i="4"/>
  <c r="AY8" i="4"/>
  <c r="AY7" i="4"/>
  <c r="AY51" i="3"/>
  <c r="AY50" i="3"/>
  <c r="AY49" i="3"/>
  <c r="AY48" i="3"/>
  <c r="AY47" i="3"/>
  <c r="AY46" i="3"/>
  <c r="AY45" i="3"/>
  <c r="AY44" i="3"/>
  <c r="AY43" i="3"/>
  <c r="AY7" i="3"/>
  <c r="AW8" i="14"/>
  <c r="AW9" i="14" s="1"/>
  <c r="U37" i="14"/>
  <c r="U36" i="14"/>
  <c r="U29" i="14"/>
  <c r="U30" i="14"/>
  <c r="U22" i="14"/>
  <c r="U23" i="14"/>
  <c r="U15" i="14"/>
  <c r="U16" i="14"/>
  <c r="U8" i="14"/>
  <c r="U9" i="14"/>
  <c r="U31" i="13"/>
  <c r="U32" i="13"/>
  <c r="U24" i="13"/>
  <c r="U25" i="13"/>
  <c r="U18" i="13"/>
  <c r="U10" i="13"/>
  <c r="U11" i="13"/>
  <c r="AW7" i="12"/>
  <c r="U34" i="12"/>
  <c r="U35" i="12"/>
  <c r="U27" i="12"/>
  <c r="U28" i="12"/>
  <c r="U20" i="12"/>
  <c r="U21" i="12"/>
  <c r="U13" i="12"/>
  <c r="U14" i="12"/>
  <c r="U7" i="12"/>
  <c r="AW8" i="11"/>
  <c r="AW9" i="11" s="1"/>
  <c r="U36" i="11"/>
  <c r="U29" i="11"/>
  <c r="U30" i="11"/>
  <c r="U22" i="11"/>
  <c r="U23" i="11"/>
  <c r="U15" i="11"/>
  <c r="U16" i="11"/>
  <c r="U8" i="11"/>
  <c r="U9" i="11"/>
  <c r="U32" i="10"/>
  <c r="U33" i="10"/>
  <c r="U25" i="10"/>
  <c r="U26" i="10"/>
  <c r="U18" i="10"/>
  <c r="U19" i="10"/>
  <c r="U11" i="10"/>
  <c r="U12" i="10"/>
  <c r="AW7" i="9"/>
  <c r="AW8" i="9" s="1"/>
  <c r="U35" i="9"/>
  <c r="U36" i="9"/>
  <c r="U28" i="9"/>
  <c r="U29" i="9"/>
  <c r="U21" i="9"/>
  <c r="U22" i="9"/>
  <c r="U14" i="9"/>
  <c r="U15" i="9"/>
  <c r="U7" i="9"/>
  <c r="U8" i="9"/>
  <c r="AW8" i="8"/>
  <c r="AW9" i="8" s="1"/>
  <c r="AW10" i="8" s="1"/>
  <c r="U30" i="8"/>
  <c r="U31" i="8"/>
  <c r="U23" i="8"/>
  <c r="U24" i="8"/>
  <c r="U16" i="8"/>
  <c r="U17" i="8"/>
  <c r="U9" i="8"/>
  <c r="U10" i="8"/>
  <c r="U33" i="7"/>
  <c r="U34" i="7"/>
  <c r="U27" i="7"/>
  <c r="U19" i="7"/>
  <c r="U12" i="7"/>
  <c r="U13" i="7"/>
  <c r="AW7" i="6"/>
  <c r="AW8" i="6" s="1"/>
  <c r="U36" i="6"/>
  <c r="U35" i="6"/>
  <c r="U28" i="6"/>
  <c r="U29" i="6"/>
  <c r="U21" i="6"/>
  <c r="U22" i="6"/>
  <c r="U14" i="6"/>
  <c r="U15" i="6"/>
  <c r="U7" i="6"/>
  <c r="U8" i="6"/>
  <c r="U31" i="5"/>
  <c r="U32" i="5"/>
  <c r="U24" i="5"/>
  <c r="U25" i="5"/>
  <c r="U17" i="5"/>
  <c r="U18" i="5"/>
  <c r="AY55" i="8" l="1"/>
  <c r="T40" i="8" s="1"/>
  <c r="AY55" i="9"/>
  <c r="T41" i="9" s="1"/>
  <c r="AY55" i="14"/>
  <c r="T41" i="14" s="1"/>
  <c r="AY55" i="5"/>
  <c r="T41" i="5" s="1"/>
  <c r="AY55" i="7"/>
  <c r="T41" i="7" s="1"/>
  <c r="AY55" i="10"/>
  <c r="T41" i="10" s="1"/>
  <c r="AY55" i="11"/>
  <c r="T40" i="11" s="1"/>
  <c r="AY55" i="13"/>
  <c r="T40" i="13" s="1"/>
  <c r="AY55" i="12"/>
  <c r="T41" i="12" s="1"/>
  <c r="AY55" i="6"/>
  <c r="T40" i="6" s="1"/>
  <c r="AY55" i="4"/>
  <c r="T39" i="4" s="1"/>
  <c r="U32" i="4" l="1"/>
  <c r="U25" i="4"/>
  <c r="U18" i="4"/>
  <c r="U11" i="4"/>
  <c r="AW7" i="3"/>
  <c r="U35" i="3"/>
  <c r="U28" i="3"/>
  <c r="U21" i="3"/>
  <c r="U14" i="3"/>
  <c r="J48" i="14" l="1"/>
  <c r="J47" i="14"/>
  <c r="J46" i="14"/>
  <c r="J45" i="14"/>
  <c r="M51" i="7"/>
  <c r="M50" i="8"/>
  <c r="M51" i="9"/>
  <c r="M50" i="11"/>
  <c r="M51" i="10"/>
  <c r="U51" i="10" s="1"/>
  <c r="M50" i="13"/>
  <c r="V47" i="13"/>
  <c r="V46" i="13"/>
  <c r="V45" i="13"/>
  <c r="V44" i="13"/>
  <c r="J47" i="13"/>
  <c r="J46" i="13"/>
  <c r="J45" i="13"/>
  <c r="J44" i="13"/>
  <c r="J48" i="12"/>
  <c r="J47" i="12"/>
  <c r="J46" i="12"/>
  <c r="J45" i="12"/>
  <c r="V48" i="12"/>
  <c r="V47" i="12"/>
  <c r="V46" i="12"/>
  <c r="V45" i="12"/>
  <c r="V47" i="11"/>
  <c r="V46" i="11"/>
  <c r="V45" i="11"/>
  <c r="V44" i="11"/>
  <c r="J47" i="11"/>
  <c r="J46" i="11"/>
  <c r="J45" i="11"/>
  <c r="J44" i="11"/>
  <c r="V48" i="10"/>
  <c r="V47" i="10"/>
  <c r="V46" i="10"/>
  <c r="V45" i="10"/>
  <c r="J48" i="10"/>
  <c r="J47" i="10"/>
  <c r="J46" i="10"/>
  <c r="J45" i="10"/>
  <c r="V48" i="9"/>
  <c r="V47" i="9"/>
  <c r="V46" i="9"/>
  <c r="V45" i="9"/>
  <c r="J48" i="9"/>
  <c r="J47" i="9"/>
  <c r="J46" i="9"/>
  <c r="J45" i="9"/>
  <c r="V47" i="8"/>
  <c r="V46" i="8"/>
  <c r="V45" i="8"/>
  <c r="V44" i="8"/>
  <c r="J47" i="8"/>
  <c r="J46" i="8"/>
  <c r="J45" i="8"/>
  <c r="J44" i="8"/>
  <c r="V48" i="7"/>
  <c r="V47" i="7"/>
  <c r="V46" i="7"/>
  <c r="V45" i="7"/>
  <c r="J48" i="7"/>
  <c r="J47" i="7"/>
  <c r="J46" i="7"/>
  <c r="J45" i="7"/>
  <c r="V48" i="14"/>
  <c r="V47" i="14"/>
  <c r="V46" i="14"/>
  <c r="V45" i="14"/>
  <c r="J47" i="6"/>
  <c r="J46" i="6"/>
  <c r="J45" i="6"/>
  <c r="J44" i="6"/>
  <c r="V47" i="6"/>
  <c r="V46" i="6"/>
  <c r="V45" i="6"/>
  <c r="V44" i="6"/>
  <c r="V48" i="5"/>
  <c r="V47" i="5"/>
  <c r="V46" i="5"/>
  <c r="V45" i="5"/>
  <c r="J48" i="5"/>
  <c r="J47" i="5"/>
  <c r="J46" i="5"/>
  <c r="J48" i="3"/>
  <c r="J47" i="3"/>
  <c r="J46" i="3"/>
  <c r="J45" i="3"/>
  <c r="V48" i="3"/>
  <c r="V47" i="3"/>
  <c r="V46" i="3"/>
  <c r="V45" i="3"/>
  <c r="V46" i="4"/>
  <c r="V45" i="4"/>
  <c r="V44" i="4"/>
  <c r="V43" i="4"/>
  <c r="J46" i="4"/>
  <c r="J45" i="4"/>
  <c r="J44" i="4"/>
  <c r="J43" i="4"/>
  <c r="J45" i="5"/>
  <c r="U24" i="14" l="1"/>
  <c r="U17" i="14"/>
  <c r="U10" i="14"/>
  <c r="U33" i="13"/>
  <c r="U26" i="13"/>
  <c r="U19" i="13"/>
  <c r="U12" i="13"/>
  <c r="U36" i="12"/>
  <c r="U29" i="12"/>
  <c r="U22" i="12"/>
  <c r="U15" i="12"/>
  <c r="U8" i="12"/>
  <c r="U31" i="11"/>
  <c r="U24" i="11"/>
  <c r="U17" i="11"/>
  <c r="U10" i="11"/>
  <c r="AX7" i="9"/>
  <c r="AX8" i="9"/>
  <c r="AX9" i="9"/>
  <c r="AX10" i="9"/>
  <c r="AX11" i="9"/>
  <c r="AX12" i="9"/>
  <c r="AX13" i="9"/>
  <c r="AX14" i="9"/>
  <c r="AX15" i="9"/>
  <c r="AX16" i="9"/>
  <c r="AX17" i="9"/>
  <c r="AX18" i="9"/>
  <c r="AX19" i="9"/>
  <c r="AX20" i="9"/>
  <c r="AX21" i="9"/>
  <c r="AX22" i="9"/>
  <c r="AX23" i="9"/>
  <c r="AX24" i="9"/>
  <c r="AX25" i="9"/>
  <c r="AX26" i="9"/>
  <c r="AX27" i="9"/>
  <c r="AX28" i="9"/>
  <c r="AX29" i="9"/>
  <c r="AX30" i="9"/>
  <c r="AX31" i="9"/>
  <c r="AX32" i="9"/>
  <c r="AX33" i="9"/>
  <c r="AX34" i="9"/>
  <c r="AX35" i="9"/>
  <c r="AX36" i="9"/>
  <c r="AX37" i="9"/>
  <c r="U34" i="10"/>
  <c r="U27" i="10"/>
  <c r="U20" i="10"/>
  <c r="U13" i="10"/>
  <c r="U37" i="9"/>
  <c r="U30" i="9"/>
  <c r="U23" i="9"/>
  <c r="U16" i="9"/>
  <c r="U9" i="9"/>
  <c r="U32" i="8"/>
  <c r="U25" i="8"/>
  <c r="U18" i="8"/>
  <c r="U11" i="8"/>
  <c r="AW7" i="7"/>
  <c r="AW8" i="7" s="1"/>
  <c r="U28" i="7"/>
  <c r="U21" i="7"/>
  <c r="U14" i="7"/>
  <c r="U30" i="6"/>
  <c r="U23" i="6"/>
  <c r="U9" i="6"/>
  <c r="U19" i="5"/>
  <c r="U26" i="5"/>
  <c r="U33" i="5"/>
  <c r="U12" i="4"/>
  <c r="U19" i="4"/>
  <c r="U26" i="4"/>
  <c r="U33" i="4"/>
  <c r="U36" i="3"/>
  <c r="U29" i="3"/>
  <c r="U22" i="3"/>
  <c r="U15" i="3"/>
  <c r="U8" i="3"/>
  <c r="AW8" i="12" l="1"/>
  <c r="AW9" i="12" s="1"/>
  <c r="AW8" i="10"/>
  <c r="AW9" i="9"/>
  <c r="AW9" i="7"/>
  <c r="AW8" i="3"/>
  <c r="AW9" i="3" l="1"/>
  <c r="AW10" i="3" s="1"/>
  <c r="AW10" i="7"/>
  <c r="AW11" i="7" s="1"/>
  <c r="AW12" i="7" s="1"/>
  <c r="AW13" i="7" s="1"/>
  <c r="AW10" i="10"/>
  <c r="AW11" i="10" s="1"/>
  <c r="AW12" i="10" s="1"/>
  <c r="AW13" i="10" s="1"/>
  <c r="AW10" i="13"/>
  <c r="AW11" i="13" s="1"/>
  <c r="AW10" i="12"/>
  <c r="AW11" i="9"/>
  <c r="AW11" i="3" l="1"/>
  <c r="AW12" i="3" s="1"/>
  <c r="AW13" i="3" s="1"/>
  <c r="AW11" i="12"/>
  <c r="AW12" i="12" s="1"/>
  <c r="AW13" i="12" s="1"/>
  <c r="AW14" i="12" s="1"/>
  <c r="AW13" i="9"/>
  <c r="AW14" i="9" s="1"/>
  <c r="AW15" i="9" s="1"/>
  <c r="AW10" i="5"/>
  <c r="AW11" i="5" s="1"/>
  <c r="AY14" i="3" l="1"/>
  <c r="AY13" i="3"/>
  <c r="AW10" i="14" l="1"/>
  <c r="AW12" i="14" s="1"/>
  <c r="AW11" i="8"/>
  <c r="AW12" i="8" l="1"/>
  <c r="AW13" i="8" s="1"/>
  <c r="AW14" i="8" s="1"/>
  <c r="AW9" i="6"/>
  <c r="AW11" i="6" s="1"/>
  <c r="AW13" i="6" s="1"/>
  <c r="AW10" i="11" l="1"/>
  <c r="AW12" i="11" s="1"/>
  <c r="C4" i="14"/>
  <c r="C4" i="13"/>
  <c r="C4" i="12"/>
  <c r="C4" i="11"/>
  <c r="C4" i="10"/>
  <c r="C4" i="9"/>
  <c r="C4" i="8"/>
  <c r="C4" i="7"/>
  <c r="C4" i="6"/>
  <c r="C4" i="5"/>
  <c r="C4" i="4"/>
  <c r="C4" i="3"/>
  <c r="AV7" i="6" l="1"/>
  <c r="AJ36" i="3"/>
  <c r="AJ35" i="14"/>
  <c r="AJ33" i="14"/>
  <c r="AJ32" i="14"/>
  <c r="AJ28" i="14"/>
  <c r="AJ27" i="14"/>
  <c r="AJ26" i="14"/>
  <c r="AJ25" i="14"/>
  <c r="AJ20" i="14"/>
  <c r="AJ19" i="14"/>
  <c r="AJ18" i="14"/>
  <c r="AJ17" i="14"/>
  <c r="AJ14" i="14"/>
  <c r="AJ13" i="14"/>
  <c r="AJ10" i="14"/>
  <c r="AJ36" i="13"/>
  <c r="AJ35" i="13"/>
  <c r="AJ34" i="13"/>
  <c r="AJ33" i="13"/>
  <c r="AJ29" i="13"/>
  <c r="AJ26" i="13"/>
  <c r="AJ23" i="13"/>
  <c r="AJ22" i="13"/>
  <c r="AJ20" i="13"/>
  <c r="AJ19" i="13"/>
  <c r="AJ14" i="13"/>
  <c r="AJ13" i="13"/>
  <c r="AJ12" i="13"/>
  <c r="AJ9" i="13"/>
  <c r="AJ37" i="12"/>
  <c r="AJ36" i="12"/>
  <c r="AJ31" i="12"/>
  <c r="AJ30" i="12"/>
  <c r="AJ29" i="12"/>
  <c r="AJ26" i="12"/>
  <c r="AJ24" i="12"/>
  <c r="AJ23" i="12"/>
  <c r="AJ22" i="12"/>
  <c r="AJ19" i="12"/>
  <c r="AJ18" i="12"/>
  <c r="AJ17" i="12"/>
  <c r="AJ16" i="12"/>
  <c r="AJ15" i="12"/>
  <c r="AJ10" i="12"/>
  <c r="AJ9" i="12"/>
  <c r="AJ8" i="12"/>
  <c r="AJ33" i="11"/>
  <c r="AJ32" i="11"/>
  <c r="AJ31" i="11"/>
  <c r="AJ28" i="11"/>
  <c r="AJ25" i="11"/>
  <c r="AJ24" i="11"/>
  <c r="AJ21" i="11"/>
  <c r="AJ20" i="11"/>
  <c r="AJ19" i="11"/>
  <c r="AJ18" i="11"/>
  <c r="AJ17" i="11"/>
  <c r="AJ11" i="11"/>
  <c r="AJ10" i="11"/>
  <c r="AJ7" i="11"/>
  <c r="AJ37" i="10"/>
  <c r="AJ36" i="10"/>
  <c r="AJ30" i="10"/>
  <c r="AJ29" i="10"/>
  <c r="AJ28" i="10"/>
  <c r="AJ27" i="10"/>
  <c r="AJ22" i="10"/>
  <c r="AJ20" i="10"/>
  <c r="AJ17" i="10"/>
  <c r="AJ15" i="10"/>
  <c r="AJ14" i="10"/>
  <c r="AJ13" i="10"/>
  <c r="AJ10" i="10"/>
  <c r="AJ8" i="10"/>
  <c r="AJ7" i="10"/>
  <c r="AJ37" i="9"/>
  <c r="AJ33" i="9"/>
  <c r="AJ32" i="9"/>
  <c r="AJ31" i="9"/>
  <c r="AJ30" i="9"/>
  <c r="AJ25" i="9"/>
  <c r="AJ24" i="9"/>
  <c r="AJ23" i="9"/>
  <c r="AJ20" i="9"/>
  <c r="AJ19" i="9"/>
  <c r="AJ17" i="9"/>
  <c r="AJ16" i="9"/>
  <c r="AJ12" i="9"/>
  <c r="AJ11" i="9"/>
  <c r="AJ10" i="9"/>
  <c r="AJ9" i="9"/>
  <c r="AJ34" i="8"/>
  <c r="AJ33" i="8"/>
  <c r="AJ32" i="8"/>
  <c r="AJ29" i="8"/>
  <c r="AJ28" i="8"/>
  <c r="AJ25" i="8"/>
  <c r="AJ21" i="8"/>
  <c r="AJ20" i="8"/>
  <c r="AJ19" i="8"/>
  <c r="AJ18" i="8"/>
  <c r="AJ15" i="8"/>
  <c r="AJ11" i="8"/>
  <c r="AJ37" i="7"/>
  <c r="AJ23" i="7"/>
  <c r="AJ21" i="7"/>
  <c r="AJ16" i="7"/>
  <c r="AJ14" i="7"/>
  <c r="AJ11" i="7"/>
  <c r="AJ10" i="7"/>
  <c r="AJ32" i="6"/>
  <c r="AJ31" i="6"/>
  <c r="AJ30" i="6"/>
  <c r="AJ25" i="6"/>
  <c r="AJ18" i="6"/>
  <c r="AJ17" i="6"/>
  <c r="AJ13" i="6"/>
  <c r="AJ37" i="5"/>
  <c r="AJ36" i="5"/>
  <c r="AJ35" i="5"/>
  <c r="AJ34" i="5"/>
  <c r="AJ33" i="5"/>
  <c r="AJ28" i="5"/>
  <c r="AJ27" i="5"/>
  <c r="AJ26" i="5"/>
  <c r="AJ23" i="5"/>
  <c r="AJ22" i="5"/>
  <c r="AJ21" i="5"/>
  <c r="AJ20" i="5"/>
  <c r="AJ19" i="5"/>
  <c r="AJ15" i="5"/>
  <c r="AJ14" i="5"/>
  <c r="AJ13" i="5"/>
  <c r="AJ12" i="5"/>
  <c r="AJ8" i="5"/>
  <c r="AJ34" i="4"/>
  <c r="AJ30" i="4"/>
  <c r="AJ27" i="4"/>
  <c r="AJ13" i="4"/>
  <c r="AJ23" i="4"/>
  <c r="AJ11" i="4"/>
  <c r="AJ10" i="4"/>
  <c r="AJ37" i="3"/>
  <c r="AJ30" i="3"/>
  <c r="AJ29" i="3"/>
  <c r="AJ25" i="3"/>
  <c r="AJ24" i="3"/>
  <c r="AJ23" i="3"/>
  <c r="AJ22" i="3"/>
  <c r="AJ18" i="3"/>
  <c r="AJ17" i="3"/>
  <c r="AJ16" i="3"/>
  <c r="AJ15" i="3"/>
  <c r="AJ11" i="3"/>
  <c r="AI37" i="3"/>
  <c r="AF2" i="6"/>
  <c r="M4" i="6"/>
  <c r="AA7" i="6"/>
  <c r="AB7" i="6"/>
  <c r="AD7" i="6"/>
  <c r="AH7" i="6"/>
  <c r="AI7" i="6"/>
  <c r="AL7" i="6"/>
  <c r="AM7" i="6"/>
  <c r="AN7" i="6"/>
  <c r="AO7" i="6"/>
  <c r="T7" i="6" s="1"/>
  <c r="AP7" i="6"/>
  <c r="Q7" i="6" s="1"/>
  <c r="AQ7" i="6"/>
  <c r="R7" i="6" s="1"/>
  <c r="AR7" i="6"/>
  <c r="S7" i="6" s="1"/>
  <c r="AS7" i="6"/>
  <c r="AT7" i="6"/>
  <c r="AX7" i="6"/>
  <c r="AA8" i="6"/>
  <c r="AB8" i="6"/>
  <c r="AD8" i="6"/>
  <c r="AH8" i="6"/>
  <c r="AI8" i="6"/>
  <c r="AL8" i="6"/>
  <c r="AM8" i="6"/>
  <c r="AN8" i="6"/>
  <c r="AO8" i="6"/>
  <c r="T8" i="6" s="1"/>
  <c r="AP8" i="6"/>
  <c r="Q8" i="6" s="1"/>
  <c r="AQ8" i="6"/>
  <c r="R8" i="6" s="1"/>
  <c r="AR8" i="6"/>
  <c r="S8" i="6" s="1"/>
  <c r="AS8" i="6"/>
  <c r="AT8" i="6"/>
  <c r="AX8" i="6"/>
  <c r="AA9" i="6"/>
  <c r="AB9" i="6"/>
  <c r="AD9" i="6"/>
  <c r="AH9" i="6"/>
  <c r="AI9" i="6"/>
  <c r="AL9" i="6"/>
  <c r="AM9" i="6"/>
  <c r="AN9" i="6"/>
  <c r="AO9" i="6"/>
  <c r="T9" i="6" s="1"/>
  <c r="AP9" i="6"/>
  <c r="Q9" i="6" s="1"/>
  <c r="AQ9" i="6"/>
  <c r="R9" i="6" s="1"/>
  <c r="AR9" i="6"/>
  <c r="S9" i="6" s="1"/>
  <c r="AS9" i="6"/>
  <c r="AT9" i="6"/>
  <c r="AX9" i="6"/>
  <c r="AJ10" i="6"/>
  <c r="AA10" i="6"/>
  <c r="AB10" i="6"/>
  <c r="AD10" i="6"/>
  <c r="AH10" i="6"/>
  <c r="AI10" i="6"/>
  <c r="AL10" i="6"/>
  <c r="AM10" i="6"/>
  <c r="AN10" i="6"/>
  <c r="AO10" i="6"/>
  <c r="T10" i="6" s="1"/>
  <c r="AP10" i="6"/>
  <c r="Q10" i="6" s="1"/>
  <c r="AQ10" i="6"/>
  <c r="R10" i="6" s="1"/>
  <c r="AR10" i="6"/>
  <c r="S10" i="6" s="1"/>
  <c r="AS10" i="6"/>
  <c r="AT10" i="6"/>
  <c r="AX10" i="6"/>
  <c r="AA11" i="6"/>
  <c r="AB11" i="6"/>
  <c r="AD11" i="6"/>
  <c r="AH11" i="6"/>
  <c r="AI11" i="6"/>
  <c r="AL11" i="6"/>
  <c r="AM11" i="6"/>
  <c r="AN11" i="6"/>
  <c r="AO11" i="6"/>
  <c r="T11" i="6" s="1"/>
  <c r="AP11" i="6"/>
  <c r="Q11" i="6" s="1"/>
  <c r="AQ11" i="6"/>
  <c r="R11" i="6" s="1"/>
  <c r="AR11" i="6"/>
  <c r="S11" i="6" s="1"/>
  <c r="AS11" i="6"/>
  <c r="AT11" i="6"/>
  <c r="AX11" i="6"/>
  <c r="AA12" i="6"/>
  <c r="AB12" i="6"/>
  <c r="AD12" i="6"/>
  <c r="AH12" i="6"/>
  <c r="AI12" i="6"/>
  <c r="AL12" i="6"/>
  <c r="AM12" i="6"/>
  <c r="AN12" i="6"/>
  <c r="AO12" i="6"/>
  <c r="T12" i="6" s="1"/>
  <c r="AP12" i="6"/>
  <c r="Q12" i="6" s="1"/>
  <c r="AQ12" i="6"/>
  <c r="R12" i="6" s="1"/>
  <c r="AR12" i="6"/>
  <c r="S12" i="6" s="1"/>
  <c r="AS12" i="6"/>
  <c r="AT12" i="6"/>
  <c r="AX12" i="6"/>
  <c r="AA13" i="6"/>
  <c r="AB13" i="6"/>
  <c r="AD13" i="6"/>
  <c r="AH13" i="6"/>
  <c r="AI13" i="6"/>
  <c r="AL13" i="6"/>
  <c r="AM13" i="6"/>
  <c r="AN13" i="6"/>
  <c r="AO13" i="6"/>
  <c r="T13" i="6" s="1"/>
  <c r="AP13" i="6"/>
  <c r="Q13" i="6" s="1"/>
  <c r="AQ13" i="6"/>
  <c r="R13" i="6" s="1"/>
  <c r="AR13" i="6"/>
  <c r="S13" i="6" s="1"/>
  <c r="AS13" i="6"/>
  <c r="AT13" i="6"/>
  <c r="AX13" i="6"/>
  <c r="AA14" i="6"/>
  <c r="AB14" i="6"/>
  <c r="AD14" i="6"/>
  <c r="AH14" i="6"/>
  <c r="AI14" i="6"/>
  <c r="AL14" i="6"/>
  <c r="AM14" i="6"/>
  <c r="AN14" i="6"/>
  <c r="AO14" i="6"/>
  <c r="T14" i="6" s="1"/>
  <c r="AP14" i="6"/>
  <c r="Q14" i="6" s="1"/>
  <c r="AQ14" i="6"/>
  <c r="R14" i="6" s="1"/>
  <c r="AR14" i="6"/>
  <c r="S14" i="6" s="1"/>
  <c r="AS14" i="6"/>
  <c r="AT14" i="6"/>
  <c r="AX14" i="6"/>
  <c r="AA15" i="6"/>
  <c r="AB15" i="6"/>
  <c r="AD15" i="6"/>
  <c r="AH15" i="6"/>
  <c r="AI15" i="6"/>
  <c r="AL15" i="6"/>
  <c r="AM15" i="6"/>
  <c r="AN15" i="6"/>
  <c r="AO15" i="6"/>
  <c r="T15" i="6" s="1"/>
  <c r="AP15" i="6"/>
  <c r="Q15" i="6" s="1"/>
  <c r="AQ15" i="6"/>
  <c r="R15" i="6" s="1"/>
  <c r="AR15" i="6"/>
  <c r="S15" i="6" s="1"/>
  <c r="AS15" i="6"/>
  <c r="AT15" i="6"/>
  <c r="AX15" i="6"/>
  <c r="AA16" i="6"/>
  <c r="AB16" i="6"/>
  <c r="AD16" i="6"/>
  <c r="AH16" i="6"/>
  <c r="AI16" i="6"/>
  <c r="AL16" i="6"/>
  <c r="AM16" i="6"/>
  <c r="AN16" i="6"/>
  <c r="AO16" i="6"/>
  <c r="T16" i="6" s="1"/>
  <c r="AP16" i="6"/>
  <c r="Q16" i="6" s="1"/>
  <c r="AQ16" i="6"/>
  <c r="R16" i="6" s="1"/>
  <c r="AR16" i="6"/>
  <c r="S16" i="6" s="1"/>
  <c r="AS16" i="6"/>
  <c r="AT16" i="6"/>
  <c r="AX16" i="6"/>
  <c r="AA17" i="6"/>
  <c r="AB17" i="6"/>
  <c r="AD17" i="6"/>
  <c r="AH17" i="6"/>
  <c r="AI17" i="6"/>
  <c r="AL17" i="6"/>
  <c r="AM17" i="6"/>
  <c r="AN17" i="6"/>
  <c r="AO17" i="6"/>
  <c r="T17" i="6" s="1"/>
  <c r="AP17" i="6"/>
  <c r="Q17" i="6" s="1"/>
  <c r="AQ17" i="6"/>
  <c r="R17" i="6" s="1"/>
  <c r="AR17" i="6"/>
  <c r="S17" i="6" s="1"/>
  <c r="AS17" i="6"/>
  <c r="AT17" i="6"/>
  <c r="AX17" i="6"/>
  <c r="AA18" i="6"/>
  <c r="AB18" i="6"/>
  <c r="AD18" i="6"/>
  <c r="AH18" i="6"/>
  <c r="AI18" i="6"/>
  <c r="AL18" i="6"/>
  <c r="AM18" i="6"/>
  <c r="AN18" i="6"/>
  <c r="AO18" i="6"/>
  <c r="T18" i="6" s="1"/>
  <c r="AP18" i="6"/>
  <c r="Q18" i="6" s="1"/>
  <c r="AQ18" i="6"/>
  <c r="R18" i="6" s="1"/>
  <c r="AR18" i="6"/>
  <c r="S18" i="6" s="1"/>
  <c r="AS18" i="6"/>
  <c r="AT18" i="6"/>
  <c r="AX18" i="6"/>
  <c r="AA19" i="6"/>
  <c r="AB19" i="6"/>
  <c r="AD19" i="6"/>
  <c r="AH19" i="6"/>
  <c r="AI19" i="6"/>
  <c r="AL19" i="6"/>
  <c r="AM19" i="6"/>
  <c r="AN19" i="6"/>
  <c r="AO19" i="6"/>
  <c r="T19" i="6" s="1"/>
  <c r="AP19" i="6"/>
  <c r="Q19" i="6" s="1"/>
  <c r="AQ19" i="6"/>
  <c r="R19" i="6" s="1"/>
  <c r="AR19" i="6"/>
  <c r="S19" i="6" s="1"/>
  <c r="AS19" i="6"/>
  <c r="AT19" i="6"/>
  <c r="AX19" i="6"/>
  <c r="AJ20" i="6"/>
  <c r="AA20" i="6"/>
  <c r="AB20" i="6"/>
  <c r="AD20" i="6"/>
  <c r="AH20" i="6"/>
  <c r="AI20" i="6"/>
  <c r="AL20" i="6"/>
  <c r="AM20" i="6"/>
  <c r="AN20" i="6"/>
  <c r="AO20" i="6"/>
  <c r="T20" i="6" s="1"/>
  <c r="AP20" i="6"/>
  <c r="Q20" i="6" s="1"/>
  <c r="AQ20" i="6"/>
  <c r="R20" i="6" s="1"/>
  <c r="AR20" i="6"/>
  <c r="S20" i="6" s="1"/>
  <c r="AS20" i="6"/>
  <c r="AT20" i="6"/>
  <c r="AX20" i="6"/>
  <c r="AA21" i="6"/>
  <c r="AB21" i="6"/>
  <c r="AD21" i="6"/>
  <c r="AH21" i="6"/>
  <c r="AI21" i="6"/>
  <c r="AL21" i="6"/>
  <c r="AM21" i="6"/>
  <c r="AN21" i="6"/>
  <c r="AO21" i="6"/>
  <c r="T21" i="6" s="1"/>
  <c r="AP21" i="6"/>
  <c r="Q21" i="6" s="1"/>
  <c r="AQ21" i="6"/>
  <c r="R21" i="6" s="1"/>
  <c r="AR21" i="6"/>
  <c r="S21" i="6" s="1"/>
  <c r="AS21" i="6"/>
  <c r="AT21" i="6"/>
  <c r="AX21" i="6"/>
  <c r="AA22" i="6"/>
  <c r="AB22" i="6"/>
  <c r="AD22" i="6"/>
  <c r="AH22" i="6"/>
  <c r="AI22" i="6"/>
  <c r="AL22" i="6"/>
  <c r="AM22" i="6"/>
  <c r="AN22" i="6"/>
  <c r="AO22" i="6"/>
  <c r="T22" i="6" s="1"/>
  <c r="AP22" i="6"/>
  <c r="Q22" i="6" s="1"/>
  <c r="AQ22" i="6"/>
  <c r="R22" i="6" s="1"/>
  <c r="AR22" i="6"/>
  <c r="S22" i="6" s="1"/>
  <c r="AS22" i="6"/>
  <c r="AT22" i="6"/>
  <c r="AX22" i="6"/>
  <c r="AA23" i="6"/>
  <c r="AB23" i="6"/>
  <c r="AD23" i="6"/>
  <c r="AH23" i="6"/>
  <c r="AF23" i="6" s="1"/>
  <c r="W23" i="6" s="1"/>
  <c r="AI23" i="6"/>
  <c r="AL23" i="6"/>
  <c r="AM23" i="6"/>
  <c r="AN23" i="6"/>
  <c r="AO23" i="6"/>
  <c r="T23" i="6" s="1"/>
  <c r="AP23" i="6"/>
  <c r="Q23" i="6" s="1"/>
  <c r="AQ23" i="6"/>
  <c r="R23" i="6" s="1"/>
  <c r="AR23" i="6"/>
  <c r="S23" i="6" s="1"/>
  <c r="AS23" i="6"/>
  <c r="AT23" i="6"/>
  <c r="AX23" i="6"/>
  <c r="AA24" i="6"/>
  <c r="AB24" i="6"/>
  <c r="AD24" i="6"/>
  <c r="AH24" i="6"/>
  <c r="AI24" i="6"/>
  <c r="AL24" i="6"/>
  <c r="AM24" i="6"/>
  <c r="AN24" i="6"/>
  <c r="AO24" i="6"/>
  <c r="T24" i="6" s="1"/>
  <c r="AP24" i="6"/>
  <c r="Q24" i="6" s="1"/>
  <c r="AQ24" i="6"/>
  <c r="R24" i="6" s="1"/>
  <c r="AR24" i="6"/>
  <c r="S24" i="6" s="1"/>
  <c r="AS24" i="6"/>
  <c r="AT24" i="6"/>
  <c r="AX24" i="6"/>
  <c r="AA25" i="6"/>
  <c r="AB25" i="6"/>
  <c r="AD25" i="6"/>
  <c r="AH25" i="6"/>
  <c r="AI25" i="6"/>
  <c r="AL25" i="6"/>
  <c r="AM25" i="6"/>
  <c r="AN25" i="6"/>
  <c r="AO25" i="6"/>
  <c r="T25" i="6" s="1"/>
  <c r="AP25" i="6"/>
  <c r="Q25" i="6" s="1"/>
  <c r="AQ25" i="6"/>
  <c r="R25" i="6" s="1"/>
  <c r="AR25" i="6"/>
  <c r="S25" i="6" s="1"/>
  <c r="AS25" i="6"/>
  <c r="AT25" i="6"/>
  <c r="AX25" i="6"/>
  <c r="AA26" i="6"/>
  <c r="AB26" i="6"/>
  <c r="AD26" i="6"/>
  <c r="AH26" i="6"/>
  <c r="AI26" i="6"/>
  <c r="AL26" i="6"/>
  <c r="AM26" i="6"/>
  <c r="AN26" i="6"/>
  <c r="AO26" i="6"/>
  <c r="T26" i="6" s="1"/>
  <c r="AP26" i="6"/>
  <c r="Q26" i="6" s="1"/>
  <c r="AQ26" i="6"/>
  <c r="R26" i="6" s="1"/>
  <c r="AR26" i="6"/>
  <c r="S26" i="6" s="1"/>
  <c r="AS26" i="6"/>
  <c r="AT26" i="6"/>
  <c r="AX26" i="6"/>
  <c r="AA27" i="6"/>
  <c r="AB27" i="6"/>
  <c r="AD27" i="6"/>
  <c r="AH27" i="6"/>
  <c r="AI27" i="6"/>
  <c r="AL27" i="6"/>
  <c r="AM27" i="6"/>
  <c r="AN27" i="6"/>
  <c r="AO27" i="6"/>
  <c r="T27" i="6" s="1"/>
  <c r="AP27" i="6"/>
  <c r="Q27" i="6" s="1"/>
  <c r="AQ27" i="6"/>
  <c r="R27" i="6" s="1"/>
  <c r="AR27" i="6"/>
  <c r="S27" i="6" s="1"/>
  <c r="AS27" i="6"/>
  <c r="AT27" i="6"/>
  <c r="AX27" i="6"/>
  <c r="AA28" i="6"/>
  <c r="AB28" i="6"/>
  <c r="AD28" i="6"/>
  <c r="AH28" i="6"/>
  <c r="AI28" i="6"/>
  <c r="AL28" i="6"/>
  <c r="AM28" i="6"/>
  <c r="AN28" i="6"/>
  <c r="AO28" i="6"/>
  <c r="T28" i="6" s="1"/>
  <c r="AP28" i="6"/>
  <c r="Q28" i="6" s="1"/>
  <c r="AQ28" i="6"/>
  <c r="R28" i="6" s="1"/>
  <c r="AR28" i="6"/>
  <c r="S28" i="6" s="1"/>
  <c r="AS28" i="6"/>
  <c r="AT28" i="6"/>
  <c r="AX28" i="6"/>
  <c r="AA29" i="6"/>
  <c r="AB29" i="6"/>
  <c r="AD29" i="6"/>
  <c r="AH29" i="6"/>
  <c r="AI29" i="6"/>
  <c r="AL29" i="6"/>
  <c r="AM29" i="6"/>
  <c r="AN29" i="6"/>
  <c r="AO29" i="6"/>
  <c r="T29" i="6" s="1"/>
  <c r="AP29" i="6"/>
  <c r="Q29" i="6" s="1"/>
  <c r="AQ29" i="6"/>
  <c r="R29" i="6" s="1"/>
  <c r="AR29" i="6"/>
  <c r="S29" i="6" s="1"/>
  <c r="AS29" i="6"/>
  <c r="AT29" i="6"/>
  <c r="AX29" i="6"/>
  <c r="AA30" i="6"/>
  <c r="AB30" i="6"/>
  <c r="AD30" i="6"/>
  <c r="AH30" i="6"/>
  <c r="AI30" i="6"/>
  <c r="AL30" i="6"/>
  <c r="AM30" i="6"/>
  <c r="AN30" i="6"/>
  <c r="AO30" i="6"/>
  <c r="T30" i="6" s="1"/>
  <c r="AP30" i="6"/>
  <c r="Q30" i="6" s="1"/>
  <c r="AQ30" i="6"/>
  <c r="R30" i="6" s="1"/>
  <c r="AR30" i="6"/>
  <c r="S30" i="6" s="1"/>
  <c r="AS30" i="6"/>
  <c r="AT30" i="6"/>
  <c r="AX30" i="6"/>
  <c r="AA31" i="6"/>
  <c r="AB31" i="6"/>
  <c r="AD31" i="6"/>
  <c r="AH31" i="6"/>
  <c r="AI31" i="6"/>
  <c r="AL31" i="6"/>
  <c r="AM31" i="6"/>
  <c r="AN31" i="6"/>
  <c r="AO31" i="6"/>
  <c r="T31" i="6" s="1"/>
  <c r="AP31" i="6"/>
  <c r="Q31" i="6" s="1"/>
  <c r="AQ31" i="6"/>
  <c r="R31" i="6" s="1"/>
  <c r="AR31" i="6"/>
  <c r="S31" i="6" s="1"/>
  <c r="AS31" i="6"/>
  <c r="AT31" i="6"/>
  <c r="AX31" i="6"/>
  <c r="AA32" i="6"/>
  <c r="AB32" i="6"/>
  <c r="AD32" i="6"/>
  <c r="AH32" i="6"/>
  <c r="AI32" i="6"/>
  <c r="AL32" i="6"/>
  <c r="AM32" i="6"/>
  <c r="AN32" i="6"/>
  <c r="AO32" i="6"/>
  <c r="T32" i="6" s="1"/>
  <c r="AP32" i="6"/>
  <c r="Q32" i="6" s="1"/>
  <c r="AQ32" i="6"/>
  <c r="R32" i="6" s="1"/>
  <c r="AR32" i="6"/>
  <c r="S32" i="6" s="1"/>
  <c r="AS32" i="6"/>
  <c r="AT32" i="6"/>
  <c r="AX32" i="6"/>
  <c r="AA33" i="6"/>
  <c r="AB33" i="6"/>
  <c r="AD33" i="6"/>
  <c r="AH33" i="6"/>
  <c r="AI33" i="6"/>
  <c r="AL33" i="6"/>
  <c r="AM33" i="6"/>
  <c r="AN33" i="6"/>
  <c r="AO33" i="6"/>
  <c r="T33" i="6" s="1"/>
  <c r="AP33" i="6"/>
  <c r="Q33" i="6" s="1"/>
  <c r="AQ33" i="6"/>
  <c r="R33" i="6" s="1"/>
  <c r="AR33" i="6"/>
  <c r="S33" i="6" s="1"/>
  <c r="AS33" i="6"/>
  <c r="AT33" i="6"/>
  <c r="AX33" i="6"/>
  <c r="AJ34" i="6"/>
  <c r="AA34" i="6"/>
  <c r="AB34" i="6"/>
  <c r="AD34" i="6"/>
  <c r="AH34" i="6"/>
  <c r="AI34" i="6"/>
  <c r="AL34" i="6"/>
  <c r="AM34" i="6"/>
  <c r="AN34" i="6"/>
  <c r="AO34" i="6"/>
  <c r="T34" i="6" s="1"/>
  <c r="AP34" i="6"/>
  <c r="Q34" i="6" s="1"/>
  <c r="AQ34" i="6"/>
  <c r="R34" i="6" s="1"/>
  <c r="AR34" i="6"/>
  <c r="S34" i="6" s="1"/>
  <c r="AS34" i="6"/>
  <c r="AT34" i="6"/>
  <c r="AX34" i="6"/>
  <c r="AA35" i="6"/>
  <c r="AB35" i="6"/>
  <c r="AD35" i="6"/>
  <c r="AH35" i="6"/>
  <c r="AI35" i="6"/>
  <c r="AJ35" i="6"/>
  <c r="AL35" i="6"/>
  <c r="AM35" i="6"/>
  <c r="AN35" i="6"/>
  <c r="AO35" i="6"/>
  <c r="T35" i="6" s="1"/>
  <c r="AP35" i="6"/>
  <c r="Q35" i="6" s="1"/>
  <c r="AQ35" i="6"/>
  <c r="R35" i="6" s="1"/>
  <c r="AR35" i="6"/>
  <c r="S35" i="6" s="1"/>
  <c r="AS35" i="6"/>
  <c r="AT35" i="6"/>
  <c r="AX35" i="6"/>
  <c r="AA36" i="6"/>
  <c r="AB36" i="6"/>
  <c r="AD36" i="6"/>
  <c r="AH36" i="6"/>
  <c r="AI36" i="6"/>
  <c r="AL36" i="6"/>
  <c r="AM36" i="6"/>
  <c r="AN36" i="6"/>
  <c r="AO36" i="6"/>
  <c r="T36" i="6" s="1"/>
  <c r="AP36" i="6"/>
  <c r="Q36" i="6" s="1"/>
  <c r="AQ36" i="6"/>
  <c r="R36" i="6" s="1"/>
  <c r="AR36" i="6"/>
  <c r="S36" i="6" s="1"/>
  <c r="AS36" i="6"/>
  <c r="AT36" i="6"/>
  <c r="AX36" i="6"/>
  <c r="AA39" i="6"/>
  <c r="AH41" i="6"/>
  <c r="M50" i="6"/>
  <c r="U50" i="6" s="1"/>
  <c r="AE54" i="6"/>
  <c r="AF54" i="6" s="1"/>
  <c r="AH54" i="6" s="1"/>
  <c r="M51" i="6" s="1"/>
  <c r="AE55" i="6"/>
  <c r="AF55" i="6" s="1"/>
  <c r="AH55" i="6" s="1"/>
  <c r="M52" i="6" s="1"/>
  <c r="AF2" i="10"/>
  <c r="M4" i="10"/>
  <c r="AA7" i="10"/>
  <c r="AB7" i="10"/>
  <c r="AD7" i="10"/>
  <c r="AH7" i="10"/>
  <c r="AI7" i="10"/>
  <c r="AL7" i="10"/>
  <c r="AM7" i="10"/>
  <c r="AN7" i="10"/>
  <c r="AO7" i="10"/>
  <c r="T7" i="10" s="1"/>
  <c r="AP7" i="10"/>
  <c r="Q7" i="10" s="1"/>
  <c r="AQ7" i="10"/>
  <c r="R7" i="10" s="1"/>
  <c r="AR7" i="10"/>
  <c r="S7" i="10" s="1"/>
  <c r="AS7" i="10"/>
  <c r="AT7" i="10"/>
  <c r="AV7" i="10"/>
  <c r="AX7" i="10"/>
  <c r="AA8" i="10"/>
  <c r="AB8" i="10"/>
  <c r="AD8" i="10"/>
  <c r="AH8" i="10"/>
  <c r="AI8" i="10"/>
  <c r="AL8" i="10"/>
  <c r="AM8" i="10"/>
  <c r="AN8" i="10"/>
  <c r="AO8" i="10"/>
  <c r="T8" i="10" s="1"/>
  <c r="AP8" i="10"/>
  <c r="Q8" i="10" s="1"/>
  <c r="AQ8" i="10"/>
  <c r="R8" i="10" s="1"/>
  <c r="AR8" i="10"/>
  <c r="S8" i="10" s="1"/>
  <c r="AS8" i="10"/>
  <c r="AT8" i="10"/>
  <c r="AX8" i="10"/>
  <c r="AA9" i="10"/>
  <c r="AB9" i="10"/>
  <c r="AD9" i="10"/>
  <c r="AH9" i="10"/>
  <c r="AI9" i="10"/>
  <c r="AL9" i="10"/>
  <c r="AM9" i="10"/>
  <c r="AN9" i="10"/>
  <c r="AO9" i="10"/>
  <c r="T9" i="10" s="1"/>
  <c r="AP9" i="10"/>
  <c r="Q9" i="10" s="1"/>
  <c r="AQ9" i="10"/>
  <c r="R9" i="10" s="1"/>
  <c r="AR9" i="10"/>
  <c r="S9" i="10" s="1"/>
  <c r="AS9" i="10"/>
  <c r="AT9" i="10"/>
  <c r="AX9" i="10"/>
  <c r="AA10" i="10"/>
  <c r="AB10" i="10"/>
  <c r="AD10" i="10"/>
  <c r="AH10" i="10"/>
  <c r="AI10" i="10"/>
  <c r="AL10" i="10"/>
  <c r="AM10" i="10"/>
  <c r="AN10" i="10"/>
  <c r="AO10" i="10"/>
  <c r="T10" i="10" s="1"/>
  <c r="AP10" i="10"/>
  <c r="Q10" i="10" s="1"/>
  <c r="AQ10" i="10"/>
  <c r="R10" i="10" s="1"/>
  <c r="AR10" i="10"/>
  <c r="S10" i="10" s="1"/>
  <c r="AS10" i="10"/>
  <c r="AT10" i="10"/>
  <c r="AX10" i="10"/>
  <c r="AA11" i="10"/>
  <c r="AB11" i="10"/>
  <c r="AD11" i="10"/>
  <c r="AH11" i="10"/>
  <c r="AI11" i="10"/>
  <c r="AL11" i="10"/>
  <c r="AM11" i="10"/>
  <c r="AN11" i="10"/>
  <c r="AO11" i="10"/>
  <c r="T11" i="10" s="1"/>
  <c r="AP11" i="10"/>
  <c r="Q11" i="10" s="1"/>
  <c r="AQ11" i="10"/>
  <c r="R11" i="10" s="1"/>
  <c r="AR11" i="10"/>
  <c r="S11" i="10" s="1"/>
  <c r="AS11" i="10"/>
  <c r="AT11" i="10"/>
  <c r="AX11" i="10"/>
  <c r="AA12" i="10"/>
  <c r="AB12" i="10"/>
  <c r="AD12" i="10"/>
  <c r="AH12" i="10"/>
  <c r="AI12" i="10"/>
  <c r="AL12" i="10"/>
  <c r="AM12" i="10"/>
  <c r="AN12" i="10"/>
  <c r="AO12" i="10"/>
  <c r="T12" i="10" s="1"/>
  <c r="AP12" i="10"/>
  <c r="Q12" i="10" s="1"/>
  <c r="AQ12" i="10"/>
  <c r="R12" i="10" s="1"/>
  <c r="AR12" i="10"/>
  <c r="S12" i="10" s="1"/>
  <c r="AS12" i="10"/>
  <c r="AT12" i="10"/>
  <c r="AX12" i="10"/>
  <c r="AA13" i="10"/>
  <c r="AB13" i="10"/>
  <c r="AD13" i="10"/>
  <c r="AH13" i="10"/>
  <c r="AI13" i="10"/>
  <c r="AL13" i="10"/>
  <c r="AM13" i="10"/>
  <c r="AN13" i="10"/>
  <c r="AO13" i="10"/>
  <c r="T13" i="10" s="1"/>
  <c r="AP13" i="10"/>
  <c r="Q13" i="10" s="1"/>
  <c r="AQ13" i="10"/>
  <c r="R13" i="10" s="1"/>
  <c r="AR13" i="10"/>
  <c r="S13" i="10" s="1"/>
  <c r="AS13" i="10"/>
  <c r="AT13" i="10"/>
  <c r="AX13" i="10"/>
  <c r="AA14" i="10"/>
  <c r="AB14" i="10"/>
  <c r="AD14" i="10"/>
  <c r="AH14" i="10"/>
  <c r="AI14" i="10"/>
  <c r="AL14" i="10"/>
  <c r="AM14" i="10"/>
  <c r="AN14" i="10"/>
  <c r="AO14" i="10"/>
  <c r="T14" i="10" s="1"/>
  <c r="AP14" i="10"/>
  <c r="Q14" i="10" s="1"/>
  <c r="AQ14" i="10"/>
  <c r="R14" i="10" s="1"/>
  <c r="AR14" i="10"/>
  <c r="S14" i="10" s="1"/>
  <c r="AS14" i="10"/>
  <c r="AT14" i="10"/>
  <c r="AX14" i="10"/>
  <c r="AA15" i="10"/>
  <c r="AB15" i="10"/>
  <c r="AD15" i="10"/>
  <c r="AH15" i="10"/>
  <c r="AI15" i="10"/>
  <c r="AL15" i="10"/>
  <c r="AM15" i="10"/>
  <c r="AN15" i="10"/>
  <c r="AO15" i="10"/>
  <c r="T15" i="10" s="1"/>
  <c r="AP15" i="10"/>
  <c r="Q15" i="10" s="1"/>
  <c r="AQ15" i="10"/>
  <c r="R15" i="10" s="1"/>
  <c r="AR15" i="10"/>
  <c r="S15" i="10" s="1"/>
  <c r="AS15" i="10"/>
  <c r="AT15" i="10"/>
  <c r="AX15" i="10"/>
  <c r="AA16" i="10"/>
  <c r="AB16" i="10"/>
  <c r="AD16" i="10"/>
  <c r="AH16" i="10"/>
  <c r="AI16" i="10"/>
  <c r="AL16" i="10"/>
  <c r="AM16" i="10"/>
  <c r="AN16" i="10"/>
  <c r="AO16" i="10"/>
  <c r="T16" i="10" s="1"/>
  <c r="AP16" i="10"/>
  <c r="Q16" i="10" s="1"/>
  <c r="AQ16" i="10"/>
  <c r="R16" i="10" s="1"/>
  <c r="AR16" i="10"/>
  <c r="S16" i="10" s="1"/>
  <c r="AS16" i="10"/>
  <c r="AT16" i="10"/>
  <c r="AX16" i="10"/>
  <c r="AA17" i="10"/>
  <c r="AB17" i="10"/>
  <c r="AD17" i="10"/>
  <c r="AH17" i="10"/>
  <c r="AI17" i="10"/>
  <c r="AL17" i="10"/>
  <c r="AM17" i="10"/>
  <c r="AN17" i="10"/>
  <c r="AO17" i="10"/>
  <c r="T17" i="10" s="1"/>
  <c r="AP17" i="10"/>
  <c r="Q17" i="10" s="1"/>
  <c r="AQ17" i="10"/>
  <c r="R17" i="10" s="1"/>
  <c r="AR17" i="10"/>
  <c r="S17" i="10" s="1"/>
  <c r="AS17" i="10"/>
  <c r="AT17" i="10"/>
  <c r="AX17" i="10"/>
  <c r="AA18" i="10"/>
  <c r="AB18" i="10"/>
  <c r="AD18" i="10"/>
  <c r="AH18" i="10"/>
  <c r="AI18" i="10"/>
  <c r="AL18" i="10"/>
  <c r="AM18" i="10"/>
  <c r="AN18" i="10"/>
  <c r="AO18" i="10"/>
  <c r="T18" i="10" s="1"/>
  <c r="AP18" i="10"/>
  <c r="Q18" i="10" s="1"/>
  <c r="AQ18" i="10"/>
  <c r="R18" i="10" s="1"/>
  <c r="AR18" i="10"/>
  <c r="S18" i="10" s="1"/>
  <c r="AS18" i="10"/>
  <c r="AT18" i="10"/>
  <c r="AX18" i="10"/>
  <c r="AA19" i="10"/>
  <c r="AB19" i="10"/>
  <c r="AD19" i="10"/>
  <c r="AH19" i="10"/>
  <c r="AI19" i="10"/>
  <c r="AJ19" i="10"/>
  <c r="AL19" i="10"/>
  <c r="AM19" i="10"/>
  <c r="AN19" i="10"/>
  <c r="AO19" i="10"/>
  <c r="T19" i="10" s="1"/>
  <c r="AP19" i="10"/>
  <c r="Q19" i="10" s="1"/>
  <c r="AQ19" i="10"/>
  <c r="R19" i="10" s="1"/>
  <c r="AR19" i="10"/>
  <c r="S19" i="10" s="1"/>
  <c r="AS19" i="10"/>
  <c r="AT19" i="10"/>
  <c r="AX19" i="10"/>
  <c r="AA20" i="10"/>
  <c r="AB20" i="10"/>
  <c r="AD20" i="10"/>
  <c r="AH20" i="10"/>
  <c r="AI20" i="10"/>
  <c r="AL20" i="10"/>
  <c r="AM20" i="10"/>
  <c r="AN20" i="10"/>
  <c r="AO20" i="10"/>
  <c r="T20" i="10" s="1"/>
  <c r="AP20" i="10"/>
  <c r="Q20" i="10" s="1"/>
  <c r="AQ20" i="10"/>
  <c r="R20" i="10" s="1"/>
  <c r="AR20" i="10"/>
  <c r="S20" i="10" s="1"/>
  <c r="AS20" i="10"/>
  <c r="AT20" i="10"/>
  <c r="AX20" i="10"/>
  <c r="AA21" i="10"/>
  <c r="AB21" i="10"/>
  <c r="AD21" i="10"/>
  <c r="AH21" i="10"/>
  <c r="AI21" i="10"/>
  <c r="AL21" i="10"/>
  <c r="AM21" i="10"/>
  <c r="AN21" i="10"/>
  <c r="AO21" i="10"/>
  <c r="T21" i="10" s="1"/>
  <c r="AP21" i="10"/>
  <c r="Q21" i="10" s="1"/>
  <c r="AQ21" i="10"/>
  <c r="R21" i="10" s="1"/>
  <c r="AR21" i="10"/>
  <c r="S21" i="10" s="1"/>
  <c r="AS21" i="10"/>
  <c r="AT21" i="10"/>
  <c r="AX21" i="10"/>
  <c r="AA22" i="10"/>
  <c r="AB22" i="10"/>
  <c r="AD22" i="10"/>
  <c r="AH22" i="10"/>
  <c r="AI22" i="10"/>
  <c r="AL22" i="10"/>
  <c r="AM22" i="10"/>
  <c r="AN22" i="10"/>
  <c r="AO22" i="10"/>
  <c r="T22" i="10" s="1"/>
  <c r="AP22" i="10"/>
  <c r="Q22" i="10" s="1"/>
  <c r="AQ22" i="10"/>
  <c r="R22" i="10" s="1"/>
  <c r="AR22" i="10"/>
  <c r="S22" i="10" s="1"/>
  <c r="AS22" i="10"/>
  <c r="AT22" i="10"/>
  <c r="AX22" i="10"/>
  <c r="AA23" i="10"/>
  <c r="AB23" i="10"/>
  <c r="AD23" i="10"/>
  <c r="AH23" i="10"/>
  <c r="AI23" i="10"/>
  <c r="AJ23" i="10"/>
  <c r="AL23" i="10"/>
  <c r="AM23" i="10"/>
  <c r="AN23" i="10"/>
  <c r="AO23" i="10"/>
  <c r="T23" i="10" s="1"/>
  <c r="AP23" i="10"/>
  <c r="Q23" i="10" s="1"/>
  <c r="AQ23" i="10"/>
  <c r="R23" i="10" s="1"/>
  <c r="AR23" i="10"/>
  <c r="S23" i="10" s="1"/>
  <c r="AS23" i="10"/>
  <c r="AT23" i="10"/>
  <c r="AX23" i="10"/>
  <c r="AJ24" i="10"/>
  <c r="AA24" i="10"/>
  <c r="AC24" i="10" s="1"/>
  <c r="AG24" i="10" s="1"/>
  <c r="AB24" i="10"/>
  <c r="AD24" i="10"/>
  <c r="AH24" i="10"/>
  <c r="AI24" i="10"/>
  <c r="AL24" i="10"/>
  <c r="AM24" i="10"/>
  <c r="AN24" i="10"/>
  <c r="AO24" i="10"/>
  <c r="T24" i="10" s="1"/>
  <c r="AP24" i="10"/>
  <c r="Q24" i="10" s="1"/>
  <c r="AQ24" i="10"/>
  <c r="AR24" i="10"/>
  <c r="S24" i="10" s="1"/>
  <c r="AS24" i="10"/>
  <c r="AT24" i="10"/>
  <c r="AX24" i="10"/>
  <c r="AA25" i="10"/>
  <c r="AB25" i="10"/>
  <c r="AD25" i="10"/>
  <c r="AH25" i="10"/>
  <c r="AI25" i="10"/>
  <c r="AL25" i="10"/>
  <c r="AM25" i="10"/>
  <c r="AN25" i="10"/>
  <c r="AO25" i="10"/>
  <c r="T25" i="10" s="1"/>
  <c r="AP25" i="10"/>
  <c r="Q25" i="10" s="1"/>
  <c r="AQ25" i="10"/>
  <c r="R25" i="10" s="1"/>
  <c r="AR25" i="10"/>
  <c r="S25" i="10" s="1"/>
  <c r="AS25" i="10"/>
  <c r="AT25" i="10"/>
  <c r="AX25" i="10"/>
  <c r="AA26" i="10"/>
  <c r="AB26" i="10"/>
  <c r="AD26" i="10"/>
  <c r="AH26" i="10"/>
  <c r="AI26" i="10"/>
  <c r="AL26" i="10"/>
  <c r="AM26" i="10"/>
  <c r="AN26" i="10"/>
  <c r="AO26" i="10"/>
  <c r="T26" i="10" s="1"/>
  <c r="AP26" i="10"/>
  <c r="Q26" i="10" s="1"/>
  <c r="AQ26" i="10"/>
  <c r="R26" i="10" s="1"/>
  <c r="AR26" i="10"/>
  <c r="S26" i="10" s="1"/>
  <c r="AS26" i="10"/>
  <c r="AT26" i="10"/>
  <c r="AX26" i="10"/>
  <c r="AA27" i="10"/>
  <c r="AB27" i="10"/>
  <c r="AD27" i="10"/>
  <c r="AH27" i="10"/>
  <c r="AI27" i="10"/>
  <c r="AL27" i="10"/>
  <c r="AM27" i="10"/>
  <c r="AN27" i="10"/>
  <c r="AO27" i="10"/>
  <c r="T27" i="10" s="1"/>
  <c r="AP27" i="10"/>
  <c r="Q27" i="10" s="1"/>
  <c r="AQ27" i="10"/>
  <c r="R27" i="10" s="1"/>
  <c r="AR27" i="10"/>
  <c r="S27" i="10" s="1"/>
  <c r="AS27" i="10"/>
  <c r="AT27" i="10"/>
  <c r="AX27" i="10"/>
  <c r="AA28" i="10"/>
  <c r="AB28" i="10"/>
  <c r="AD28" i="10"/>
  <c r="AH28" i="10"/>
  <c r="AI28" i="10"/>
  <c r="AL28" i="10"/>
  <c r="AM28" i="10"/>
  <c r="AN28" i="10"/>
  <c r="AO28" i="10"/>
  <c r="T28" i="10" s="1"/>
  <c r="AP28" i="10"/>
  <c r="Q28" i="10" s="1"/>
  <c r="AQ28" i="10"/>
  <c r="R28" i="10" s="1"/>
  <c r="AR28" i="10"/>
  <c r="S28" i="10" s="1"/>
  <c r="AS28" i="10"/>
  <c r="AT28" i="10"/>
  <c r="AX28" i="10"/>
  <c r="AA29" i="10"/>
  <c r="AB29" i="10"/>
  <c r="AD29" i="10"/>
  <c r="AH29" i="10"/>
  <c r="AI29" i="10"/>
  <c r="AL29" i="10"/>
  <c r="AM29" i="10"/>
  <c r="AN29" i="10"/>
  <c r="AO29" i="10"/>
  <c r="T29" i="10" s="1"/>
  <c r="AP29" i="10"/>
  <c r="Q29" i="10" s="1"/>
  <c r="AQ29" i="10"/>
  <c r="R29" i="10" s="1"/>
  <c r="AR29" i="10"/>
  <c r="S29" i="10" s="1"/>
  <c r="AS29" i="10"/>
  <c r="AT29" i="10"/>
  <c r="AX29" i="10"/>
  <c r="AA30" i="10"/>
  <c r="AB30" i="10"/>
  <c r="AD30" i="10"/>
  <c r="AH30" i="10"/>
  <c r="AI30" i="10"/>
  <c r="AL30" i="10"/>
  <c r="AM30" i="10"/>
  <c r="AN30" i="10"/>
  <c r="AO30" i="10"/>
  <c r="T30" i="10" s="1"/>
  <c r="AP30" i="10"/>
  <c r="Q30" i="10" s="1"/>
  <c r="AQ30" i="10"/>
  <c r="R30" i="10" s="1"/>
  <c r="AR30" i="10"/>
  <c r="S30" i="10" s="1"/>
  <c r="AS30" i="10"/>
  <c r="AT30" i="10"/>
  <c r="AX30" i="10"/>
  <c r="AJ31" i="10"/>
  <c r="AA31" i="10"/>
  <c r="AB31" i="10"/>
  <c r="AD31" i="10"/>
  <c r="AH31" i="10"/>
  <c r="AI31" i="10"/>
  <c r="AL31" i="10"/>
  <c r="AM31" i="10"/>
  <c r="AN31" i="10"/>
  <c r="AO31" i="10"/>
  <c r="T31" i="10" s="1"/>
  <c r="AP31" i="10"/>
  <c r="Q31" i="10" s="1"/>
  <c r="AQ31" i="10"/>
  <c r="R31" i="10" s="1"/>
  <c r="AR31" i="10"/>
  <c r="S31" i="10" s="1"/>
  <c r="AS31" i="10"/>
  <c r="AT31" i="10"/>
  <c r="AX31" i="10"/>
  <c r="AA32" i="10"/>
  <c r="AB32" i="10"/>
  <c r="AD32" i="10"/>
  <c r="AH32" i="10"/>
  <c r="AI32" i="10"/>
  <c r="AL32" i="10"/>
  <c r="AM32" i="10"/>
  <c r="AN32" i="10"/>
  <c r="AO32" i="10"/>
  <c r="T32" i="10" s="1"/>
  <c r="AP32" i="10"/>
  <c r="Q32" i="10" s="1"/>
  <c r="AQ32" i="10"/>
  <c r="R32" i="10" s="1"/>
  <c r="AR32" i="10"/>
  <c r="S32" i="10" s="1"/>
  <c r="AS32" i="10"/>
  <c r="AT32" i="10"/>
  <c r="AX32" i="10"/>
  <c r="AA33" i="10"/>
  <c r="AB33" i="10"/>
  <c r="AD33" i="10"/>
  <c r="AH33" i="10"/>
  <c r="AI33" i="10"/>
  <c r="AJ33" i="10"/>
  <c r="AL33" i="10"/>
  <c r="AM33" i="10"/>
  <c r="AN33" i="10"/>
  <c r="AO33" i="10"/>
  <c r="T33" i="10" s="1"/>
  <c r="AP33" i="10"/>
  <c r="Q33" i="10" s="1"/>
  <c r="AQ33" i="10"/>
  <c r="R33" i="10" s="1"/>
  <c r="AR33" i="10"/>
  <c r="S33" i="10" s="1"/>
  <c r="AS33" i="10"/>
  <c r="AT33" i="10"/>
  <c r="AX33" i="10"/>
  <c r="AA34" i="10"/>
  <c r="AB34" i="10"/>
  <c r="AD34" i="10"/>
  <c r="AH34" i="10"/>
  <c r="AF34" i="10" s="1"/>
  <c r="W34" i="10" s="1"/>
  <c r="AI34" i="10"/>
  <c r="AL34" i="10"/>
  <c r="AM34" i="10"/>
  <c r="AN34" i="10"/>
  <c r="AO34" i="10"/>
  <c r="T34" i="10" s="1"/>
  <c r="AP34" i="10"/>
  <c r="Q34" i="10" s="1"/>
  <c r="AQ34" i="10"/>
  <c r="R34" i="10" s="1"/>
  <c r="AR34" i="10"/>
  <c r="S34" i="10" s="1"/>
  <c r="AS34" i="10"/>
  <c r="AT34" i="10"/>
  <c r="AX34" i="10"/>
  <c r="AA35" i="10"/>
  <c r="AB35" i="10"/>
  <c r="AD35" i="10"/>
  <c r="AH35" i="10"/>
  <c r="AI35" i="10"/>
  <c r="AJ35" i="10"/>
  <c r="AL35" i="10"/>
  <c r="AM35" i="10"/>
  <c r="AN35" i="10"/>
  <c r="AO35" i="10"/>
  <c r="T35" i="10" s="1"/>
  <c r="AP35" i="10"/>
  <c r="Q35" i="10" s="1"/>
  <c r="AQ35" i="10"/>
  <c r="R35" i="10" s="1"/>
  <c r="AR35" i="10"/>
  <c r="S35" i="10" s="1"/>
  <c r="AS35" i="10"/>
  <c r="AT35" i="10"/>
  <c r="AX35" i="10"/>
  <c r="AA36" i="10"/>
  <c r="AB36" i="10"/>
  <c r="AD36" i="10"/>
  <c r="AH36" i="10"/>
  <c r="AI36" i="10"/>
  <c r="AL36" i="10"/>
  <c r="AM36" i="10"/>
  <c r="AN36" i="10"/>
  <c r="AO36" i="10"/>
  <c r="T36" i="10" s="1"/>
  <c r="AP36" i="10"/>
  <c r="Q36" i="10" s="1"/>
  <c r="AQ36" i="10"/>
  <c r="R36" i="10" s="1"/>
  <c r="AR36" i="10"/>
  <c r="S36" i="10" s="1"/>
  <c r="AS36" i="10"/>
  <c r="AT36" i="10"/>
  <c r="AX36" i="10"/>
  <c r="AA37" i="10"/>
  <c r="AB37" i="10"/>
  <c r="AD37" i="10"/>
  <c r="AH37" i="10"/>
  <c r="AI37" i="10"/>
  <c r="AL37" i="10"/>
  <c r="AM37" i="10"/>
  <c r="AN37" i="10"/>
  <c r="AO37" i="10"/>
  <c r="T37" i="10" s="1"/>
  <c r="AP37" i="10"/>
  <c r="Q37" i="10" s="1"/>
  <c r="AQ37" i="10"/>
  <c r="R37" i="10" s="1"/>
  <c r="AR37" i="10"/>
  <c r="S37" i="10" s="1"/>
  <c r="AS37" i="10"/>
  <c r="AT37" i="10"/>
  <c r="AX37" i="10"/>
  <c r="AA40" i="10"/>
  <c r="AH42" i="10"/>
  <c r="AE54" i="10"/>
  <c r="AF54" i="10" s="1"/>
  <c r="AH54" i="10" s="1"/>
  <c r="M52" i="10" s="1"/>
  <c r="AE55" i="10"/>
  <c r="AF55" i="10" s="1"/>
  <c r="AH55" i="10" s="1"/>
  <c r="M53" i="10" s="1"/>
  <c r="AF2" i="14"/>
  <c r="M4" i="14"/>
  <c r="AJ7" i="14"/>
  <c r="AA7" i="14"/>
  <c r="AB7" i="14"/>
  <c r="AD7" i="14"/>
  <c r="AH7" i="14"/>
  <c r="AI7" i="14"/>
  <c r="AL7" i="14"/>
  <c r="AM7" i="14"/>
  <c r="AN7" i="14"/>
  <c r="AO7" i="14"/>
  <c r="T7" i="14" s="1"/>
  <c r="AP7" i="14"/>
  <c r="Q7" i="14" s="1"/>
  <c r="AQ7" i="14"/>
  <c r="R7" i="14" s="1"/>
  <c r="AR7" i="14"/>
  <c r="S7" i="14" s="1"/>
  <c r="AS7" i="14"/>
  <c r="AT7" i="14"/>
  <c r="AU7" i="14"/>
  <c r="AV7" i="14"/>
  <c r="AX7" i="14"/>
  <c r="AA8" i="14"/>
  <c r="AB8" i="14"/>
  <c r="AD8" i="14"/>
  <c r="AH8" i="14"/>
  <c r="AI8" i="14"/>
  <c r="AJ8" i="14"/>
  <c r="AL8" i="14"/>
  <c r="AM8" i="14"/>
  <c r="AN8" i="14"/>
  <c r="AO8" i="14"/>
  <c r="T8" i="14" s="1"/>
  <c r="AP8" i="14"/>
  <c r="Q8" i="14" s="1"/>
  <c r="AQ8" i="14"/>
  <c r="R8" i="14" s="1"/>
  <c r="AR8" i="14"/>
  <c r="S8" i="14" s="1"/>
  <c r="AS8" i="14"/>
  <c r="AT8" i="14"/>
  <c r="AX8" i="14"/>
  <c r="AA9" i="14"/>
  <c r="AB9" i="14"/>
  <c r="AD9" i="14"/>
  <c r="AH9" i="14"/>
  <c r="AI9" i="14"/>
  <c r="AL9" i="14"/>
  <c r="AM9" i="14"/>
  <c r="AN9" i="14"/>
  <c r="AO9" i="14"/>
  <c r="T9" i="14" s="1"/>
  <c r="AP9" i="14"/>
  <c r="Q9" i="14" s="1"/>
  <c r="AQ9" i="14"/>
  <c r="R9" i="14" s="1"/>
  <c r="AR9" i="14"/>
  <c r="S9" i="14" s="1"/>
  <c r="AS9" i="14"/>
  <c r="AT9" i="14"/>
  <c r="AX9" i="14"/>
  <c r="AA10" i="14"/>
  <c r="AB10" i="14"/>
  <c r="AD10" i="14"/>
  <c r="AH10" i="14"/>
  <c r="AI10" i="14"/>
  <c r="AL10" i="14"/>
  <c r="AM10" i="14"/>
  <c r="AN10" i="14"/>
  <c r="AO10" i="14"/>
  <c r="T10" i="14" s="1"/>
  <c r="AP10" i="14"/>
  <c r="Q10" i="14" s="1"/>
  <c r="AQ10" i="14"/>
  <c r="R10" i="14" s="1"/>
  <c r="AR10" i="14"/>
  <c r="S10" i="14" s="1"/>
  <c r="AS10" i="14"/>
  <c r="AT10" i="14"/>
  <c r="AX10" i="14"/>
  <c r="AJ11" i="14"/>
  <c r="AA11" i="14"/>
  <c r="AB11" i="14"/>
  <c r="AD11" i="14"/>
  <c r="AH11" i="14"/>
  <c r="AI11" i="14"/>
  <c r="AL11" i="14"/>
  <c r="AM11" i="14"/>
  <c r="AN11" i="14"/>
  <c r="AO11" i="14"/>
  <c r="AP11" i="14"/>
  <c r="Q11" i="14" s="1"/>
  <c r="AQ11" i="14"/>
  <c r="R11" i="14" s="1"/>
  <c r="AR11" i="14"/>
  <c r="S11" i="14" s="1"/>
  <c r="AS11" i="14"/>
  <c r="AT11" i="14"/>
  <c r="AX11" i="14"/>
  <c r="AA12" i="14"/>
  <c r="AB12" i="14"/>
  <c r="AD12" i="14"/>
  <c r="AH12" i="14"/>
  <c r="AI12" i="14"/>
  <c r="AJ12" i="14"/>
  <c r="AL12" i="14"/>
  <c r="AM12" i="14"/>
  <c r="AN12" i="14"/>
  <c r="AO12" i="14"/>
  <c r="T12" i="14" s="1"/>
  <c r="AP12" i="14"/>
  <c r="Q12" i="14" s="1"/>
  <c r="AQ12" i="14"/>
  <c r="R12" i="14" s="1"/>
  <c r="AR12" i="14"/>
  <c r="S12" i="14" s="1"/>
  <c r="AS12" i="14"/>
  <c r="AT12" i="14"/>
  <c r="AX12" i="14"/>
  <c r="AA13" i="14"/>
  <c r="AB13" i="14"/>
  <c r="AD13" i="14"/>
  <c r="AH13" i="14"/>
  <c r="AI13" i="14"/>
  <c r="AL13" i="14"/>
  <c r="AM13" i="14"/>
  <c r="AN13" i="14"/>
  <c r="L13" i="14" s="1"/>
  <c r="AO13" i="14"/>
  <c r="T13" i="14" s="1"/>
  <c r="AP13" i="14"/>
  <c r="Q13" i="14" s="1"/>
  <c r="AQ13" i="14"/>
  <c r="R13" i="14" s="1"/>
  <c r="AR13" i="14"/>
  <c r="S13" i="14" s="1"/>
  <c r="AS13" i="14"/>
  <c r="AT13" i="14"/>
  <c r="AX13" i="14"/>
  <c r="AA14" i="14"/>
  <c r="AB14" i="14"/>
  <c r="AD14" i="14"/>
  <c r="AH14" i="14"/>
  <c r="AI14" i="14"/>
  <c r="AL14" i="14"/>
  <c r="AM14" i="14"/>
  <c r="AN14" i="14"/>
  <c r="AO14" i="14"/>
  <c r="T14" i="14" s="1"/>
  <c r="AP14" i="14"/>
  <c r="Q14" i="14" s="1"/>
  <c r="AQ14" i="14"/>
  <c r="R14" i="14" s="1"/>
  <c r="AR14" i="14"/>
  <c r="S14" i="14" s="1"/>
  <c r="AS14" i="14"/>
  <c r="AT14" i="14"/>
  <c r="AX14" i="14"/>
  <c r="AA15" i="14"/>
  <c r="AB15" i="14"/>
  <c r="AD15" i="14"/>
  <c r="AH15" i="14"/>
  <c r="AI15" i="14"/>
  <c r="AJ15" i="14"/>
  <c r="AL15" i="14"/>
  <c r="AM15" i="14"/>
  <c r="AN15" i="14"/>
  <c r="AO15" i="14"/>
  <c r="T15" i="14" s="1"/>
  <c r="AP15" i="14"/>
  <c r="Q15" i="14" s="1"/>
  <c r="AQ15" i="14"/>
  <c r="R15" i="14" s="1"/>
  <c r="AR15" i="14"/>
  <c r="S15" i="14" s="1"/>
  <c r="AS15" i="14"/>
  <c r="AT15" i="14"/>
  <c r="AX15" i="14"/>
  <c r="AA16" i="14"/>
  <c r="AB16" i="14"/>
  <c r="AD16" i="14"/>
  <c r="AH16" i="14"/>
  <c r="AI16" i="14"/>
  <c r="AL16" i="14"/>
  <c r="AM16" i="14"/>
  <c r="AN16" i="14"/>
  <c r="AO16" i="14"/>
  <c r="T16" i="14" s="1"/>
  <c r="AP16" i="14"/>
  <c r="Q16" i="14" s="1"/>
  <c r="AQ16" i="14"/>
  <c r="R16" i="14" s="1"/>
  <c r="AR16" i="14"/>
  <c r="S16" i="14" s="1"/>
  <c r="AS16" i="14"/>
  <c r="AT16" i="14"/>
  <c r="AX16" i="14"/>
  <c r="AA17" i="14"/>
  <c r="AB17" i="14"/>
  <c r="AD17" i="14"/>
  <c r="AH17" i="14"/>
  <c r="AI17" i="14"/>
  <c r="AL17" i="14"/>
  <c r="AM17" i="14"/>
  <c r="AN17" i="14"/>
  <c r="AO17" i="14"/>
  <c r="T17" i="14" s="1"/>
  <c r="AP17" i="14"/>
  <c r="Q17" i="14" s="1"/>
  <c r="AQ17" i="14"/>
  <c r="R17" i="14" s="1"/>
  <c r="AR17" i="14"/>
  <c r="S17" i="14" s="1"/>
  <c r="AS17" i="14"/>
  <c r="AT17" i="14"/>
  <c r="AX17" i="14"/>
  <c r="AA18" i="14"/>
  <c r="AB18" i="14"/>
  <c r="AD18" i="14"/>
  <c r="AH18" i="14"/>
  <c r="AI18" i="14"/>
  <c r="AL18" i="14"/>
  <c r="AM18" i="14"/>
  <c r="AN18" i="14"/>
  <c r="AO18" i="14"/>
  <c r="T18" i="14" s="1"/>
  <c r="AP18" i="14"/>
  <c r="Q18" i="14" s="1"/>
  <c r="AQ18" i="14"/>
  <c r="R18" i="14" s="1"/>
  <c r="AR18" i="14"/>
  <c r="S18" i="14" s="1"/>
  <c r="AS18" i="14"/>
  <c r="AT18" i="14"/>
  <c r="AX18" i="14"/>
  <c r="AA19" i="14"/>
  <c r="AB19" i="14"/>
  <c r="AD19" i="14"/>
  <c r="AH19" i="14"/>
  <c r="AI19" i="14"/>
  <c r="AL19" i="14"/>
  <c r="AM19" i="14"/>
  <c r="AN19" i="14"/>
  <c r="AO19" i="14"/>
  <c r="T19" i="14" s="1"/>
  <c r="AP19" i="14"/>
  <c r="Q19" i="14" s="1"/>
  <c r="AQ19" i="14"/>
  <c r="R19" i="14" s="1"/>
  <c r="AR19" i="14"/>
  <c r="S19" i="14" s="1"/>
  <c r="AS19" i="14"/>
  <c r="AT19" i="14"/>
  <c r="AX19" i="14"/>
  <c r="AA20" i="14"/>
  <c r="AB20" i="14"/>
  <c r="AD20" i="14"/>
  <c r="AH20" i="14"/>
  <c r="AI20" i="14"/>
  <c r="AL20" i="14"/>
  <c r="AM20" i="14"/>
  <c r="AN20" i="14"/>
  <c r="L20" i="14" s="1"/>
  <c r="AO20" i="14"/>
  <c r="T20" i="14" s="1"/>
  <c r="AP20" i="14"/>
  <c r="Q20" i="14" s="1"/>
  <c r="AQ20" i="14"/>
  <c r="R20" i="14" s="1"/>
  <c r="AR20" i="14"/>
  <c r="S20" i="14" s="1"/>
  <c r="AS20" i="14"/>
  <c r="AT20" i="14"/>
  <c r="AX20" i="14"/>
  <c r="AJ21" i="14"/>
  <c r="AA21" i="14"/>
  <c r="AB21" i="14"/>
  <c r="AD21" i="14"/>
  <c r="AH21" i="14"/>
  <c r="AI21" i="14"/>
  <c r="AL21" i="14"/>
  <c r="AM21" i="14"/>
  <c r="AN21" i="14"/>
  <c r="AO21" i="14"/>
  <c r="T21" i="14" s="1"/>
  <c r="AP21" i="14"/>
  <c r="Q21" i="14" s="1"/>
  <c r="AQ21" i="14"/>
  <c r="R21" i="14" s="1"/>
  <c r="AR21" i="14"/>
  <c r="S21" i="14" s="1"/>
  <c r="AS21" i="14"/>
  <c r="AT21" i="14"/>
  <c r="AX21" i="14"/>
  <c r="AA22" i="14"/>
  <c r="AB22" i="14"/>
  <c r="AD22" i="14"/>
  <c r="AH22" i="14"/>
  <c r="AI22" i="14"/>
  <c r="AL22" i="14"/>
  <c r="AM22" i="14"/>
  <c r="AN22" i="14"/>
  <c r="AO22" i="14"/>
  <c r="T22" i="14" s="1"/>
  <c r="AP22" i="14"/>
  <c r="Q22" i="14" s="1"/>
  <c r="AQ22" i="14"/>
  <c r="R22" i="14" s="1"/>
  <c r="AR22" i="14"/>
  <c r="S22" i="14" s="1"/>
  <c r="AS22" i="14"/>
  <c r="AT22" i="14"/>
  <c r="AX22" i="14"/>
  <c r="AA23" i="14"/>
  <c r="AB23" i="14"/>
  <c r="AD23" i="14"/>
  <c r="AH23" i="14"/>
  <c r="AI23" i="14"/>
  <c r="AJ23" i="14"/>
  <c r="AL23" i="14"/>
  <c r="AM23" i="14"/>
  <c r="AN23" i="14"/>
  <c r="AO23" i="14"/>
  <c r="T23" i="14" s="1"/>
  <c r="AP23" i="14"/>
  <c r="Q23" i="14" s="1"/>
  <c r="AQ23" i="14"/>
  <c r="R23" i="14" s="1"/>
  <c r="AR23" i="14"/>
  <c r="S23" i="14" s="1"/>
  <c r="AS23" i="14"/>
  <c r="AT23" i="14"/>
  <c r="AX23" i="14"/>
  <c r="AA24" i="14"/>
  <c r="AB24" i="14"/>
  <c r="AD24" i="14"/>
  <c r="AH24" i="14"/>
  <c r="AI24" i="14"/>
  <c r="AL24" i="14"/>
  <c r="AM24" i="14"/>
  <c r="AN24" i="14"/>
  <c r="AO24" i="14"/>
  <c r="T24" i="14" s="1"/>
  <c r="AP24" i="14"/>
  <c r="Q24" i="14" s="1"/>
  <c r="AQ24" i="14"/>
  <c r="R24" i="14" s="1"/>
  <c r="AR24" i="14"/>
  <c r="S24" i="14" s="1"/>
  <c r="AS24" i="14"/>
  <c r="AT24" i="14"/>
  <c r="AX24" i="14"/>
  <c r="AA25" i="14"/>
  <c r="AB25" i="14"/>
  <c r="AD25" i="14"/>
  <c r="AH25" i="14"/>
  <c r="AI25" i="14"/>
  <c r="AL25" i="14"/>
  <c r="AM25" i="14"/>
  <c r="AN25" i="14"/>
  <c r="AO25" i="14"/>
  <c r="T25" i="14" s="1"/>
  <c r="AP25" i="14"/>
  <c r="Q25" i="14" s="1"/>
  <c r="AQ25" i="14"/>
  <c r="R25" i="14" s="1"/>
  <c r="AR25" i="14"/>
  <c r="S25" i="14" s="1"/>
  <c r="AS25" i="14"/>
  <c r="AT25" i="14"/>
  <c r="AX25" i="14"/>
  <c r="AA26" i="14"/>
  <c r="AB26" i="14"/>
  <c r="AD26" i="14"/>
  <c r="AH26" i="14"/>
  <c r="AI26" i="14"/>
  <c r="AL26" i="14"/>
  <c r="AM26" i="14"/>
  <c r="AN26" i="14"/>
  <c r="AO26" i="14"/>
  <c r="T26" i="14" s="1"/>
  <c r="AP26" i="14"/>
  <c r="Q26" i="14" s="1"/>
  <c r="AQ26" i="14"/>
  <c r="R26" i="14" s="1"/>
  <c r="AR26" i="14"/>
  <c r="S26" i="14" s="1"/>
  <c r="AS26" i="14"/>
  <c r="AT26" i="14"/>
  <c r="AX26" i="14"/>
  <c r="AA27" i="14"/>
  <c r="AB27" i="14"/>
  <c r="AD27" i="14"/>
  <c r="AH27" i="14"/>
  <c r="AI27" i="14"/>
  <c r="AL27" i="14"/>
  <c r="AM27" i="14"/>
  <c r="AN27" i="14"/>
  <c r="L27" i="14" s="1"/>
  <c r="AO27" i="14"/>
  <c r="T27" i="14" s="1"/>
  <c r="AP27" i="14"/>
  <c r="Q27" i="14" s="1"/>
  <c r="AQ27" i="14"/>
  <c r="R27" i="14" s="1"/>
  <c r="AR27" i="14"/>
  <c r="S27" i="14" s="1"/>
  <c r="AS27" i="14"/>
  <c r="AT27" i="14"/>
  <c r="AX27" i="14"/>
  <c r="AA28" i="14"/>
  <c r="AB28" i="14"/>
  <c r="AD28" i="14"/>
  <c r="AH28" i="14"/>
  <c r="AI28" i="14"/>
  <c r="AL28" i="14"/>
  <c r="AM28" i="14"/>
  <c r="AN28" i="14"/>
  <c r="AO28" i="14"/>
  <c r="T28" i="14" s="1"/>
  <c r="AP28" i="14"/>
  <c r="Q28" i="14" s="1"/>
  <c r="AQ28" i="14"/>
  <c r="R28" i="14" s="1"/>
  <c r="AR28" i="14"/>
  <c r="S28" i="14" s="1"/>
  <c r="AS28" i="14"/>
  <c r="AT28" i="14"/>
  <c r="AX28" i="14"/>
  <c r="AA29" i="14"/>
  <c r="AB29" i="14"/>
  <c r="AD29" i="14"/>
  <c r="AH29" i="14"/>
  <c r="AI29" i="14"/>
  <c r="AJ29" i="14"/>
  <c r="AL29" i="14"/>
  <c r="AM29" i="14"/>
  <c r="AN29" i="14"/>
  <c r="AO29" i="14"/>
  <c r="T29" i="14" s="1"/>
  <c r="AP29" i="14"/>
  <c r="Q29" i="14" s="1"/>
  <c r="AQ29" i="14"/>
  <c r="R29" i="14" s="1"/>
  <c r="AR29" i="14"/>
  <c r="S29" i="14" s="1"/>
  <c r="AS29" i="14"/>
  <c r="AT29" i="14"/>
  <c r="AX29" i="14"/>
  <c r="AA30" i="14"/>
  <c r="AB30" i="14"/>
  <c r="AD30" i="14"/>
  <c r="AH30" i="14"/>
  <c r="AI30" i="14"/>
  <c r="AJ30" i="14"/>
  <c r="AL30" i="14"/>
  <c r="AM30" i="14"/>
  <c r="AN30" i="14"/>
  <c r="AO30" i="14"/>
  <c r="T30" i="14" s="1"/>
  <c r="AP30" i="14"/>
  <c r="Q30" i="14" s="1"/>
  <c r="AQ30" i="14"/>
  <c r="R30" i="14" s="1"/>
  <c r="AR30" i="14"/>
  <c r="S30" i="14" s="1"/>
  <c r="AS30" i="14"/>
  <c r="AT30" i="14"/>
  <c r="AX30" i="14"/>
  <c r="AA31" i="14"/>
  <c r="AB31" i="14"/>
  <c r="AD31" i="14"/>
  <c r="AH31" i="14"/>
  <c r="AI31" i="14"/>
  <c r="AL31" i="14"/>
  <c r="AM31" i="14"/>
  <c r="AN31" i="14"/>
  <c r="AO31" i="14"/>
  <c r="T31" i="14" s="1"/>
  <c r="AP31" i="14"/>
  <c r="Q31" i="14" s="1"/>
  <c r="AQ31" i="14"/>
  <c r="R31" i="14" s="1"/>
  <c r="AR31" i="14"/>
  <c r="S31" i="14" s="1"/>
  <c r="AS31" i="14"/>
  <c r="AT31" i="14"/>
  <c r="AX31" i="14"/>
  <c r="AA32" i="14"/>
  <c r="AB32" i="14"/>
  <c r="AD32" i="14"/>
  <c r="AH32" i="14"/>
  <c r="AI32" i="14"/>
  <c r="AL32" i="14"/>
  <c r="AM32" i="14"/>
  <c r="AN32" i="14"/>
  <c r="AO32" i="14"/>
  <c r="T32" i="14" s="1"/>
  <c r="AP32" i="14"/>
  <c r="Q32" i="14" s="1"/>
  <c r="AQ32" i="14"/>
  <c r="R32" i="14" s="1"/>
  <c r="AR32" i="14"/>
  <c r="S32" i="14" s="1"/>
  <c r="AS32" i="14"/>
  <c r="AT32" i="14"/>
  <c r="AX32" i="14"/>
  <c r="AA33" i="14"/>
  <c r="AB33" i="14"/>
  <c r="AD33" i="14"/>
  <c r="AH33" i="14"/>
  <c r="AI33" i="14"/>
  <c r="AL33" i="14"/>
  <c r="AM33" i="14"/>
  <c r="AN33" i="14"/>
  <c r="AO33" i="14"/>
  <c r="T33" i="14" s="1"/>
  <c r="AP33" i="14"/>
  <c r="Q33" i="14" s="1"/>
  <c r="AQ33" i="14"/>
  <c r="R33" i="14" s="1"/>
  <c r="AR33" i="14"/>
  <c r="S33" i="14" s="1"/>
  <c r="AS33" i="14"/>
  <c r="AT33" i="14"/>
  <c r="AX33" i="14"/>
  <c r="AA34" i="14"/>
  <c r="AB34" i="14"/>
  <c r="AD34" i="14"/>
  <c r="AH34" i="14"/>
  <c r="AI34" i="14"/>
  <c r="AJ34" i="14"/>
  <c r="AL34" i="14"/>
  <c r="AM34" i="14"/>
  <c r="AN34" i="14"/>
  <c r="L34" i="14" s="1"/>
  <c r="AO34" i="14"/>
  <c r="T34" i="14" s="1"/>
  <c r="AP34" i="14"/>
  <c r="Q34" i="14" s="1"/>
  <c r="AQ34" i="14"/>
  <c r="R34" i="14" s="1"/>
  <c r="AR34" i="14"/>
  <c r="S34" i="14" s="1"/>
  <c r="AS34" i="14"/>
  <c r="AT34" i="14"/>
  <c r="AX34" i="14"/>
  <c r="AA35" i="14"/>
  <c r="AB35" i="14"/>
  <c r="AD35" i="14"/>
  <c r="AH35" i="14"/>
  <c r="AI35" i="14"/>
  <c r="AL35" i="14"/>
  <c r="AM35" i="14"/>
  <c r="AN35" i="14"/>
  <c r="L35" i="14" s="1"/>
  <c r="AO35" i="14"/>
  <c r="T35" i="14" s="1"/>
  <c r="AP35" i="14"/>
  <c r="Q35" i="14" s="1"/>
  <c r="AQ35" i="14"/>
  <c r="R35" i="14" s="1"/>
  <c r="AR35" i="14"/>
  <c r="S35" i="14" s="1"/>
  <c r="AS35" i="14"/>
  <c r="AT35" i="14"/>
  <c r="AX35" i="14"/>
  <c r="AA36" i="14"/>
  <c r="AB36" i="14"/>
  <c r="AD36" i="14"/>
  <c r="AH36" i="14"/>
  <c r="AI36" i="14"/>
  <c r="AL36" i="14"/>
  <c r="AM36" i="14"/>
  <c r="AN36" i="14"/>
  <c r="AO36" i="14"/>
  <c r="T36" i="14" s="1"/>
  <c r="AP36" i="14"/>
  <c r="Q36" i="14" s="1"/>
  <c r="AQ36" i="14"/>
  <c r="R36" i="14" s="1"/>
  <c r="AR36" i="14"/>
  <c r="S36" i="14" s="1"/>
  <c r="AS36" i="14"/>
  <c r="AT36" i="14"/>
  <c r="AX36" i="14"/>
  <c r="AA37" i="14"/>
  <c r="AB37" i="14"/>
  <c r="AD37" i="14"/>
  <c r="AH37" i="14"/>
  <c r="AI37" i="14"/>
  <c r="AL37" i="14"/>
  <c r="AM37" i="14"/>
  <c r="AN37" i="14"/>
  <c r="AO37" i="14"/>
  <c r="T37" i="14" s="1"/>
  <c r="AP37" i="14"/>
  <c r="Q37" i="14" s="1"/>
  <c r="AQ37" i="14"/>
  <c r="R37" i="14" s="1"/>
  <c r="AR37" i="14"/>
  <c r="S37" i="14" s="1"/>
  <c r="AS37" i="14"/>
  <c r="AT37" i="14"/>
  <c r="AX37" i="14"/>
  <c r="AA40" i="14"/>
  <c r="AH43" i="14"/>
  <c r="M51" i="14"/>
  <c r="U51" i="14" s="1"/>
  <c r="AE54" i="14"/>
  <c r="AF54" i="14" s="1"/>
  <c r="AH54" i="14" s="1"/>
  <c r="M52" i="14" s="1"/>
  <c r="AE55" i="14"/>
  <c r="AF55" i="14" s="1"/>
  <c r="AH55" i="14" s="1"/>
  <c r="M53" i="14" s="1"/>
  <c r="D30" i="15"/>
  <c r="H30" i="15"/>
  <c r="D32" i="15"/>
  <c r="H32" i="15"/>
  <c r="D34" i="15"/>
  <c r="H34" i="15"/>
  <c r="D36" i="15"/>
  <c r="H36" i="15"/>
  <c r="AF2" i="4"/>
  <c r="M4" i="4"/>
  <c r="AA7" i="4"/>
  <c r="AB7" i="4"/>
  <c r="AD7" i="4"/>
  <c r="AH7" i="4"/>
  <c r="AI7" i="4"/>
  <c r="AL7" i="4"/>
  <c r="AM7" i="4"/>
  <c r="AN7" i="4"/>
  <c r="AO7" i="4"/>
  <c r="T7" i="4" s="1"/>
  <c r="AP7" i="4"/>
  <c r="Q7" i="4" s="1"/>
  <c r="AQ7" i="4"/>
  <c r="R7" i="4" s="1"/>
  <c r="AR7" i="4"/>
  <c r="S7" i="4" s="1"/>
  <c r="AS7" i="4"/>
  <c r="AT7" i="4"/>
  <c r="AV7" i="4"/>
  <c r="AX7" i="4"/>
  <c r="AA8" i="4"/>
  <c r="AB8" i="4"/>
  <c r="AD8" i="4"/>
  <c r="AH8" i="4"/>
  <c r="AI8" i="4"/>
  <c r="AL8" i="4"/>
  <c r="AM8" i="4"/>
  <c r="AN8" i="4"/>
  <c r="L8" i="4" s="1"/>
  <c r="AO8" i="4"/>
  <c r="T8" i="4" s="1"/>
  <c r="AP8" i="4"/>
  <c r="Q8" i="4" s="1"/>
  <c r="AQ8" i="4"/>
  <c r="R8" i="4" s="1"/>
  <c r="AR8" i="4"/>
  <c r="S8" i="4" s="1"/>
  <c r="AS8" i="4"/>
  <c r="AT8" i="4"/>
  <c r="AX8" i="4"/>
  <c r="AA9" i="4"/>
  <c r="AB9" i="4"/>
  <c r="AD9" i="4"/>
  <c r="AH9" i="4"/>
  <c r="AI9" i="4"/>
  <c r="AL9" i="4"/>
  <c r="AM9" i="4"/>
  <c r="AN9" i="4"/>
  <c r="AO9" i="4"/>
  <c r="AP9" i="4"/>
  <c r="AQ9" i="4"/>
  <c r="AR9" i="4"/>
  <c r="AS9" i="4"/>
  <c r="AT9" i="4"/>
  <c r="AX9" i="4"/>
  <c r="AA10" i="4"/>
  <c r="AB10" i="4"/>
  <c r="AD10" i="4"/>
  <c r="AH10" i="4"/>
  <c r="AI10" i="4"/>
  <c r="AL10" i="4"/>
  <c r="AM10" i="4"/>
  <c r="AN10" i="4"/>
  <c r="AO10" i="4"/>
  <c r="T10" i="4" s="1"/>
  <c r="AP10" i="4"/>
  <c r="Q10" i="4" s="1"/>
  <c r="AQ10" i="4"/>
  <c r="R10" i="4" s="1"/>
  <c r="AR10" i="4"/>
  <c r="S10" i="4" s="1"/>
  <c r="AS10" i="4"/>
  <c r="AT10" i="4"/>
  <c r="AX10" i="4"/>
  <c r="AA11" i="4"/>
  <c r="AB11" i="4"/>
  <c r="AD11" i="4"/>
  <c r="AH11" i="4"/>
  <c r="AI11" i="4"/>
  <c r="AL11" i="4"/>
  <c r="AM11" i="4"/>
  <c r="AN11" i="4"/>
  <c r="AO11" i="4"/>
  <c r="T11" i="4" s="1"/>
  <c r="AP11" i="4"/>
  <c r="Q11" i="4" s="1"/>
  <c r="AQ11" i="4"/>
  <c r="R11" i="4" s="1"/>
  <c r="AR11" i="4"/>
  <c r="S11" i="4" s="1"/>
  <c r="AS11" i="4"/>
  <c r="AT11" i="4"/>
  <c r="AX11" i="4"/>
  <c r="AA12" i="4"/>
  <c r="AB12" i="4"/>
  <c r="AD12" i="4"/>
  <c r="AH12" i="4"/>
  <c r="AI12" i="4"/>
  <c r="AL12" i="4"/>
  <c r="AM12" i="4"/>
  <c r="AN12" i="4"/>
  <c r="AO12" i="4"/>
  <c r="T12" i="4" s="1"/>
  <c r="AP12" i="4"/>
  <c r="Q12" i="4" s="1"/>
  <c r="AQ12" i="4"/>
  <c r="R12" i="4" s="1"/>
  <c r="AR12" i="4"/>
  <c r="S12" i="4" s="1"/>
  <c r="AS12" i="4"/>
  <c r="AT12" i="4"/>
  <c r="AX12" i="4"/>
  <c r="AA13" i="4"/>
  <c r="AB13" i="4"/>
  <c r="AD13" i="4"/>
  <c r="AH13" i="4"/>
  <c r="AI13" i="4"/>
  <c r="AL13" i="4"/>
  <c r="AM13" i="4"/>
  <c r="AN13" i="4"/>
  <c r="AO13" i="4"/>
  <c r="T13" i="4" s="1"/>
  <c r="AP13" i="4"/>
  <c r="Q13" i="4" s="1"/>
  <c r="AQ13" i="4"/>
  <c r="R13" i="4" s="1"/>
  <c r="AR13" i="4"/>
  <c r="S13" i="4" s="1"/>
  <c r="AS13" i="4"/>
  <c r="AT13" i="4"/>
  <c r="AX13" i="4"/>
  <c r="AA14" i="4"/>
  <c r="AB14" i="4"/>
  <c r="AD14" i="4"/>
  <c r="AH14" i="4"/>
  <c r="AI14" i="4"/>
  <c r="AL14" i="4"/>
  <c r="AM14" i="4"/>
  <c r="AN14" i="4"/>
  <c r="AO14" i="4"/>
  <c r="T14" i="4" s="1"/>
  <c r="AP14" i="4"/>
  <c r="Q14" i="4" s="1"/>
  <c r="AQ14" i="4"/>
  <c r="R14" i="4" s="1"/>
  <c r="AR14" i="4"/>
  <c r="S14" i="4" s="1"/>
  <c r="AS14" i="4"/>
  <c r="AT14" i="4"/>
  <c r="AX14" i="4"/>
  <c r="AA15" i="4"/>
  <c r="AB15" i="4"/>
  <c r="AD15" i="4"/>
  <c r="AH15" i="4"/>
  <c r="AI15" i="4"/>
  <c r="AL15" i="4"/>
  <c r="AM15" i="4"/>
  <c r="AN15" i="4"/>
  <c r="L15" i="4" s="1"/>
  <c r="AO15" i="4"/>
  <c r="T15" i="4" s="1"/>
  <c r="AP15" i="4"/>
  <c r="Q15" i="4" s="1"/>
  <c r="AQ15" i="4"/>
  <c r="R15" i="4" s="1"/>
  <c r="AR15" i="4"/>
  <c r="S15" i="4" s="1"/>
  <c r="AS15" i="4"/>
  <c r="AT15" i="4"/>
  <c r="AX15" i="4"/>
  <c r="AJ16" i="4"/>
  <c r="AA16" i="4"/>
  <c r="AB16" i="4"/>
  <c r="AD16" i="4"/>
  <c r="AH16" i="4"/>
  <c r="AI16" i="4"/>
  <c r="AL16" i="4"/>
  <c r="AM16" i="4"/>
  <c r="AN16" i="4"/>
  <c r="AO16" i="4"/>
  <c r="T16" i="4" s="1"/>
  <c r="AP16" i="4"/>
  <c r="Q16" i="4" s="1"/>
  <c r="AQ16" i="4"/>
  <c r="R16" i="4" s="1"/>
  <c r="AR16" i="4"/>
  <c r="S16" i="4" s="1"/>
  <c r="AS16" i="4"/>
  <c r="AT16" i="4"/>
  <c r="AX16" i="4"/>
  <c r="AA17" i="4"/>
  <c r="AB17" i="4"/>
  <c r="AD17" i="4"/>
  <c r="AH17" i="4"/>
  <c r="AI17" i="4"/>
  <c r="AL17" i="4"/>
  <c r="AM17" i="4"/>
  <c r="AN17" i="4"/>
  <c r="AO17" i="4"/>
  <c r="T17" i="4" s="1"/>
  <c r="AP17" i="4"/>
  <c r="Q17" i="4" s="1"/>
  <c r="AQ17" i="4"/>
  <c r="R17" i="4" s="1"/>
  <c r="AR17" i="4"/>
  <c r="S17" i="4" s="1"/>
  <c r="AS17" i="4"/>
  <c r="AT17" i="4"/>
  <c r="AX17" i="4"/>
  <c r="AA18" i="4"/>
  <c r="AB18" i="4"/>
  <c r="AD18" i="4"/>
  <c r="AH18" i="4"/>
  <c r="AI18" i="4"/>
  <c r="AL18" i="4"/>
  <c r="AM18" i="4"/>
  <c r="AN18" i="4"/>
  <c r="AO18" i="4"/>
  <c r="T18" i="4" s="1"/>
  <c r="AP18" i="4"/>
  <c r="Q18" i="4" s="1"/>
  <c r="AQ18" i="4"/>
  <c r="R18" i="4" s="1"/>
  <c r="AR18" i="4"/>
  <c r="S18" i="4" s="1"/>
  <c r="AS18" i="4"/>
  <c r="AT18" i="4"/>
  <c r="AX18" i="4"/>
  <c r="AA19" i="4"/>
  <c r="AB19" i="4"/>
  <c r="AD19" i="4"/>
  <c r="AH19" i="4"/>
  <c r="AI19" i="4"/>
  <c r="AL19" i="4"/>
  <c r="AM19" i="4"/>
  <c r="AN19" i="4"/>
  <c r="AO19" i="4"/>
  <c r="T19" i="4" s="1"/>
  <c r="AP19" i="4"/>
  <c r="Q19" i="4" s="1"/>
  <c r="AQ19" i="4"/>
  <c r="R19" i="4" s="1"/>
  <c r="AR19" i="4"/>
  <c r="S19" i="4" s="1"/>
  <c r="AS19" i="4"/>
  <c r="AT19" i="4"/>
  <c r="AX19" i="4"/>
  <c r="AA20" i="4"/>
  <c r="AB20" i="4"/>
  <c r="AD20" i="4"/>
  <c r="AH20" i="4"/>
  <c r="AI20" i="4"/>
  <c r="AL20" i="4"/>
  <c r="AM20" i="4"/>
  <c r="AN20" i="4"/>
  <c r="AO20" i="4"/>
  <c r="T20" i="4" s="1"/>
  <c r="AP20" i="4"/>
  <c r="Q20" i="4" s="1"/>
  <c r="AQ20" i="4"/>
  <c r="R20" i="4" s="1"/>
  <c r="AR20" i="4"/>
  <c r="S20" i="4" s="1"/>
  <c r="AS20" i="4"/>
  <c r="AT20" i="4"/>
  <c r="AX20" i="4"/>
  <c r="AA21" i="4"/>
  <c r="AB21" i="4"/>
  <c r="AD21" i="4"/>
  <c r="AH21" i="4"/>
  <c r="AI21" i="4"/>
  <c r="AL21" i="4"/>
  <c r="AM21" i="4"/>
  <c r="AN21" i="4"/>
  <c r="AO21" i="4"/>
  <c r="T21" i="4" s="1"/>
  <c r="AP21" i="4"/>
  <c r="Q21" i="4" s="1"/>
  <c r="AQ21" i="4"/>
  <c r="R21" i="4" s="1"/>
  <c r="AR21" i="4"/>
  <c r="S21" i="4" s="1"/>
  <c r="AS21" i="4"/>
  <c r="AT21" i="4"/>
  <c r="AX21" i="4"/>
  <c r="AA22" i="4"/>
  <c r="AB22" i="4"/>
  <c r="AD22" i="4"/>
  <c r="AH22" i="4"/>
  <c r="AI22" i="4"/>
  <c r="AL22" i="4"/>
  <c r="AM22" i="4"/>
  <c r="AN22" i="4"/>
  <c r="L22" i="4" s="1"/>
  <c r="AO22" i="4"/>
  <c r="T22" i="4" s="1"/>
  <c r="AP22" i="4"/>
  <c r="Q22" i="4" s="1"/>
  <c r="AQ22" i="4"/>
  <c r="R22" i="4" s="1"/>
  <c r="AR22" i="4"/>
  <c r="S22" i="4" s="1"/>
  <c r="AS22" i="4"/>
  <c r="AT22" i="4"/>
  <c r="AX22" i="4"/>
  <c r="AA23" i="4"/>
  <c r="AB23" i="4"/>
  <c r="AD23" i="4"/>
  <c r="AH23" i="4"/>
  <c r="AI23" i="4"/>
  <c r="AL23" i="4"/>
  <c r="AM23" i="4"/>
  <c r="AN23" i="4"/>
  <c r="AO23" i="4"/>
  <c r="T23" i="4" s="1"/>
  <c r="AP23" i="4"/>
  <c r="Q23" i="4" s="1"/>
  <c r="AQ23" i="4"/>
  <c r="R23" i="4" s="1"/>
  <c r="AR23" i="4"/>
  <c r="S23" i="4" s="1"/>
  <c r="AS23" i="4"/>
  <c r="AT36" i="4" s="1"/>
  <c r="AT23" i="4"/>
  <c r="AX23" i="4"/>
  <c r="AA24" i="4"/>
  <c r="AB24" i="4"/>
  <c r="AD24" i="4"/>
  <c r="AH24" i="4"/>
  <c r="AI24" i="4"/>
  <c r="AL24" i="4"/>
  <c r="AM24" i="4"/>
  <c r="AN24" i="4"/>
  <c r="AO24" i="4"/>
  <c r="T24" i="4" s="1"/>
  <c r="AP24" i="4"/>
  <c r="Q24" i="4" s="1"/>
  <c r="AQ24" i="4"/>
  <c r="R24" i="4" s="1"/>
  <c r="AR24" i="4"/>
  <c r="S24" i="4" s="1"/>
  <c r="AS24" i="4"/>
  <c r="AT24" i="4"/>
  <c r="AX24" i="4"/>
  <c r="AA25" i="4"/>
  <c r="AB25" i="4"/>
  <c r="AD25" i="4"/>
  <c r="AH25" i="4"/>
  <c r="AI25" i="4"/>
  <c r="AL25" i="4"/>
  <c r="AM25" i="4"/>
  <c r="AN25" i="4"/>
  <c r="AO25" i="4"/>
  <c r="T25" i="4" s="1"/>
  <c r="AP25" i="4"/>
  <c r="Q25" i="4" s="1"/>
  <c r="AQ25" i="4"/>
  <c r="R25" i="4" s="1"/>
  <c r="AR25" i="4"/>
  <c r="S25" i="4" s="1"/>
  <c r="AS25" i="4"/>
  <c r="AT25" i="4"/>
  <c r="AX25" i="4"/>
  <c r="AA26" i="4"/>
  <c r="AB26" i="4"/>
  <c r="AD26" i="4"/>
  <c r="AH26" i="4"/>
  <c r="AI26" i="4"/>
  <c r="AL26" i="4"/>
  <c r="AM26" i="4"/>
  <c r="AN26" i="4"/>
  <c r="AO26" i="4"/>
  <c r="T26" i="4" s="1"/>
  <c r="AP26" i="4"/>
  <c r="Q26" i="4" s="1"/>
  <c r="AQ26" i="4"/>
  <c r="R26" i="4" s="1"/>
  <c r="AR26" i="4"/>
  <c r="S26" i="4" s="1"/>
  <c r="AS26" i="4"/>
  <c r="AT26" i="4"/>
  <c r="AX26" i="4"/>
  <c r="AA27" i="4"/>
  <c r="AB27" i="4"/>
  <c r="AD27" i="4"/>
  <c r="AH27" i="4"/>
  <c r="AI27" i="4"/>
  <c r="AL27" i="4"/>
  <c r="AM27" i="4"/>
  <c r="AN27" i="4"/>
  <c r="AO27" i="4"/>
  <c r="T27" i="4" s="1"/>
  <c r="AP27" i="4"/>
  <c r="Q27" i="4" s="1"/>
  <c r="AQ27" i="4"/>
  <c r="R27" i="4" s="1"/>
  <c r="AR27" i="4"/>
  <c r="S27" i="4" s="1"/>
  <c r="AS27" i="4"/>
  <c r="AT27" i="4"/>
  <c r="AX27" i="4"/>
  <c r="AA28" i="4"/>
  <c r="AB28" i="4"/>
  <c r="AD28" i="4"/>
  <c r="AH28" i="4"/>
  <c r="AI28" i="4"/>
  <c r="AL28" i="4"/>
  <c r="AM28" i="4"/>
  <c r="AN28" i="4"/>
  <c r="AO28" i="4"/>
  <c r="T28" i="4" s="1"/>
  <c r="AP28" i="4"/>
  <c r="Q28" i="4" s="1"/>
  <c r="AQ28" i="4"/>
  <c r="R28" i="4" s="1"/>
  <c r="AR28" i="4"/>
  <c r="S28" i="4" s="1"/>
  <c r="AS28" i="4"/>
  <c r="AT28" i="4"/>
  <c r="AX28" i="4"/>
  <c r="AA29" i="4"/>
  <c r="AB29" i="4"/>
  <c r="AD29" i="4"/>
  <c r="AH29" i="4"/>
  <c r="AI29" i="4"/>
  <c r="AL29" i="4"/>
  <c r="AM29" i="4"/>
  <c r="AN29" i="4"/>
  <c r="L29" i="4" s="1"/>
  <c r="AO29" i="4"/>
  <c r="T29" i="4" s="1"/>
  <c r="AP29" i="4"/>
  <c r="Q29" i="4" s="1"/>
  <c r="AQ29" i="4"/>
  <c r="R29" i="4" s="1"/>
  <c r="AR29" i="4"/>
  <c r="S29" i="4" s="1"/>
  <c r="AS29" i="4"/>
  <c r="AT29" i="4"/>
  <c r="AX29" i="4"/>
  <c r="AA30" i="4"/>
  <c r="AB30" i="4"/>
  <c r="AD30" i="4"/>
  <c r="AH30" i="4"/>
  <c r="AI30" i="4"/>
  <c r="AL30" i="4"/>
  <c r="AM30" i="4"/>
  <c r="AN30" i="4"/>
  <c r="AO30" i="4"/>
  <c r="T30" i="4" s="1"/>
  <c r="AP30" i="4"/>
  <c r="Q30" i="4" s="1"/>
  <c r="AQ30" i="4"/>
  <c r="R30" i="4" s="1"/>
  <c r="AR30" i="4"/>
  <c r="S30" i="4" s="1"/>
  <c r="AS30" i="4"/>
  <c r="AT30" i="4"/>
  <c r="AX30" i="4"/>
  <c r="AA31" i="4"/>
  <c r="AB31" i="4"/>
  <c r="AD31" i="4"/>
  <c r="AH31" i="4"/>
  <c r="AI31" i="4"/>
  <c r="AL31" i="4"/>
  <c r="AM31" i="4"/>
  <c r="AN31" i="4"/>
  <c r="AO31" i="4"/>
  <c r="T31" i="4" s="1"/>
  <c r="AP31" i="4"/>
  <c r="Q31" i="4" s="1"/>
  <c r="AQ31" i="4"/>
  <c r="R31" i="4" s="1"/>
  <c r="AR31" i="4"/>
  <c r="S31" i="4" s="1"/>
  <c r="AS31" i="4"/>
  <c r="AT31" i="4"/>
  <c r="AX31" i="4"/>
  <c r="AA32" i="4"/>
  <c r="AB32" i="4"/>
  <c r="AD32" i="4"/>
  <c r="AH32" i="4"/>
  <c r="AI32" i="4"/>
  <c r="AL32" i="4"/>
  <c r="AM32" i="4"/>
  <c r="AN32" i="4"/>
  <c r="AO32" i="4"/>
  <c r="T32" i="4" s="1"/>
  <c r="AP32" i="4"/>
  <c r="Q32" i="4" s="1"/>
  <c r="AQ32" i="4"/>
  <c r="R32" i="4" s="1"/>
  <c r="AR32" i="4"/>
  <c r="S32" i="4" s="1"/>
  <c r="AS32" i="4"/>
  <c r="AT32" i="4"/>
  <c r="AX32" i="4"/>
  <c r="AA33" i="4"/>
  <c r="AB33" i="4"/>
  <c r="AD33" i="4"/>
  <c r="AH33" i="4"/>
  <c r="AI33" i="4"/>
  <c r="AL33" i="4"/>
  <c r="AM33" i="4"/>
  <c r="AN33" i="4"/>
  <c r="AO33" i="4"/>
  <c r="T33" i="4" s="1"/>
  <c r="AP33" i="4"/>
  <c r="Q33" i="4" s="1"/>
  <c r="AQ33" i="4"/>
  <c r="R33" i="4" s="1"/>
  <c r="AR33" i="4"/>
  <c r="S33" i="4" s="1"/>
  <c r="AS33" i="4"/>
  <c r="AT33" i="4"/>
  <c r="AX33" i="4"/>
  <c r="AA34" i="4"/>
  <c r="AB34" i="4"/>
  <c r="AD34" i="4"/>
  <c r="AH34" i="4"/>
  <c r="AI34" i="4"/>
  <c r="AL34" i="4"/>
  <c r="AM34" i="4"/>
  <c r="AN34" i="4"/>
  <c r="AO34" i="4"/>
  <c r="T34" i="4" s="1"/>
  <c r="AP34" i="4"/>
  <c r="Q34" i="4" s="1"/>
  <c r="AQ34" i="4"/>
  <c r="R34" i="4" s="1"/>
  <c r="AR34" i="4"/>
  <c r="S34" i="4" s="1"/>
  <c r="AS34" i="4"/>
  <c r="AT34" i="4"/>
  <c r="AX34" i="4"/>
  <c r="AA38" i="4"/>
  <c r="AH40" i="4"/>
  <c r="U49" i="4"/>
  <c r="AF52" i="4"/>
  <c r="AH52" i="4" s="1"/>
  <c r="M50" i="4" s="1"/>
  <c r="AF53" i="4"/>
  <c r="AH53" i="4" s="1"/>
  <c r="M51" i="4" s="1"/>
  <c r="AF2" i="3"/>
  <c r="M4" i="3"/>
  <c r="U4" i="3"/>
  <c r="U4" i="4" s="1"/>
  <c r="AA7" i="3"/>
  <c r="AB7" i="3"/>
  <c r="AD7" i="3"/>
  <c r="AH7" i="3"/>
  <c r="AI7" i="3"/>
  <c r="AL7" i="3"/>
  <c r="AM7" i="3"/>
  <c r="AN7" i="3"/>
  <c r="AO7" i="3"/>
  <c r="T7" i="3" s="1"/>
  <c r="AP7" i="3"/>
  <c r="Q7" i="3" s="1"/>
  <c r="AQ7" i="3"/>
  <c r="R7" i="3" s="1"/>
  <c r="AR7" i="3"/>
  <c r="S7" i="3" s="1"/>
  <c r="AS7" i="3"/>
  <c r="AT7" i="3"/>
  <c r="AX7" i="3"/>
  <c r="AA8" i="3"/>
  <c r="AB8" i="3"/>
  <c r="AD8" i="3"/>
  <c r="AH8" i="3"/>
  <c r="AI8" i="3"/>
  <c r="AL8" i="3"/>
  <c r="AM8" i="3"/>
  <c r="AN8" i="3"/>
  <c r="AO8" i="3"/>
  <c r="T8" i="3" s="1"/>
  <c r="AP8" i="3"/>
  <c r="Q8" i="3" s="1"/>
  <c r="AQ8" i="3"/>
  <c r="R8" i="3" s="1"/>
  <c r="AR8" i="3"/>
  <c r="S8" i="3" s="1"/>
  <c r="AS8" i="3"/>
  <c r="AT8" i="3"/>
  <c r="AX8" i="3"/>
  <c r="AY8" i="3"/>
  <c r="AA9" i="3"/>
  <c r="AB9" i="3"/>
  <c r="AD9" i="3"/>
  <c r="AH9" i="3"/>
  <c r="AI9" i="3"/>
  <c r="AL9" i="3"/>
  <c r="AM9" i="3"/>
  <c r="AN9" i="3"/>
  <c r="AO9" i="3"/>
  <c r="T9" i="3" s="1"/>
  <c r="AP9" i="3"/>
  <c r="Q9" i="3" s="1"/>
  <c r="AQ9" i="3"/>
  <c r="R9" i="3" s="1"/>
  <c r="AR9" i="3"/>
  <c r="S9" i="3" s="1"/>
  <c r="AS9" i="3"/>
  <c r="AT9" i="3"/>
  <c r="AX9" i="3"/>
  <c r="AY9" i="3"/>
  <c r="AA10" i="3"/>
  <c r="AB10" i="3"/>
  <c r="AD10" i="3"/>
  <c r="AH10" i="3"/>
  <c r="AI10" i="3"/>
  <c r="AL10" i="3"/>
  <c r="AM10" i="3"/>
  <c r="AN10" i="3"/>
  <c r="AO10" i="3"/>
  <c r="T10" i="3" s="1"/>
  <c r="AP10" i="3"/>
  <c r="Q10" i="3" s="1"/>
  <c r="AQ10" i="3"/>
  <c r="R10" i="3" s="1"/>
  <c r="AR10" i="3"/>
  <c r="S10" i="3" s="1"/>
  <c r="AS10" i="3"/>
  <c r="AT10" i="3"/>
  <c r="AX10" i="3"/>
  <c r="AY10" i="3"/>
  <c r="AA11" i="3"/>
  <c r="AB11" i="3"/>
  <c r="AD11" i="3"/>
  <c r="AH11" i="3"/>
  <c r="AI11" i="3"/>
  <c r="AL11" i="3"/>
  <c r="AM11" i="3"/>
  <c r="AN11" i="3"/>
  <c r="L11" i="3" s="1"/>
  <c r="AO11" i="3"/>
  <c r="T11" i="3" s="1"/>
  <c r="AP11" i="3"/>
  <c r="Q11" i="3" s="1"/>
  <c r="AQ11" i="3"/>
  <c r="R11" i="3" s="1"/>
  <c r="AR11" i="3"/>
  <c r="S11" i="3" s="1"/>
  <c r="AS11" i="3"/>
  <c r="AT11" i="3"/>
  <c r="AX11" i="3"/>
  <c r="AY11" i="3"/>
  <c r="AA12" i="3"/>
  <c r="AB12" i="3"/>
  <c r="AD12" i="3"/>
  <c r="AH12" i="3"/>
  <c r="AI12" i="3"/>
  <c r="AL12" i="3"/>
  <c r="AM12" i="3"/>
  <c r="AN12" i="3"/>
  <c r="AO12" i="3"/>
  <c r="T12" i="3" s="1"/>
  <c r="AP12" i="3"/>
  <c r="Q12" i="3" s="1"/>
  <c r="AQ12" i="3"/>
  <c r="R12" i="3" s="1"/>
  <c r="AR12" i="3"/>
  <c r="S12" i="3" s="1"/>
  <c r="AS12" i="3"/>
  <c r="AT12" i="3"/>
  <c r="AX12" i="3"/>
  <c r="AY12" i="3"/>
  <c r="AA13" i="3"/>
  <c r="AB13" i="3"/>
  <c r="AD13" i="3"/>
  <c r="AH13" i="3"/>
  <c r="AI13" i="3"/>
  <c r="AL13" i="3"/>
  <c r="AM13" i="3"/>
  <c r="AN13" i="3"/>
  <c r="L13" i="3" s="1"/>
  <c r="AO13" i="3"/>
  <c r="T13" i="3" s="1"/>
  <c r="AP13" i="3"/>
  <c r="Q13" i="3" s="1"/>
  <c r="AQ13" i="3"/>
  <c r="R13" i="3" s="1"/>
  <c r="AR13" i="3"/>
  <c r="S13" i="3" s="1"/>
  <c r="AS13" i="3"/>
  <c r="AT13" i="3"/>
  <c r="AX13" i="3"/>
  <c r="AA14" i="3"/>
  <c r="AB14" i="3"/>
  <c r="AD14" i="3"/>
  <c r="AH14" i="3"/>
  <c r="AI14" i="3"/>
  <c r="AL14" i="3"/>
  <c r="AM14" i="3"/>
  <c r="AN14" i="3"/>
  <c r="AO14" i="3"/>
  <c r="T14" i="3" s="1"/>
  <c r="AP14" i="3"/>
  <c r="Q14" i="3" s="1"/>
  <c r="AQ14" i="3"/>
  <c r="R14" i="3" s="1"/>
  <c r="AR14" i="3"/>
  <c r="S14" i="3" s="1"/>
  <c r="AS14" i="3"/>
  <c r="AT14" i="3"/>
  <c r="AX14" i="3"/>
  <c r="AA15" i="3"/>
  <c r="AB15" i="3"/>
  <c r="AD15" i="3"/>
  <c r="AH15" i="3"/>
  <c r="AI15" i="3"/>
  <c r="AL15" i="3"/>
  <c r="AM15" i="3"/>
  <c r="AN15" i="3"/>
  <c r="AO15" i="3"/>
  <c r="T15" i="3" s="1"/>
  <c r="AP15" i="3"/>
  <c r="Q15" i="3" s="1"/>
  <c r="AQ15" i="3"/>
  <c r="R15" i="3" s="1"/>
  <c r="AR15" i="3"/>
  <c r="S15" i="3" s="1"/>
  <c r="AS15" i="3"/>
  <c r="AT15" i="3"/>
  <c r="AX15" i="3"/>
  <c r="AY15" i="3"/>
  <c r="AA16" i="3"/>
  <c r="AB16" i="3"/>
  <c r="AD16" i="3"/>
  <c r="AH16" i="3"/>
  <c r="AI16" i="3"/>
  <c r="AL16" i="3"/>
  <c r="AM16" i="3"/>
  <c r="AN16" i="3"/>
  <c r="AO16" i="3"/>
  <c r="T16" i="3" s="1"/>
  <c r="AP16" i="3"/>
  <c r="Q16" i="3" s="1"/>
  <c r="AQ16" i="3"/>
  <c r="R16" i="3" s="1"/>
  <c r="AR16" i="3"/>
  <c r="S16" i="3" s="1"/>
  <c r="AS16" i="3"/>
  <c r="AT16" i="3"/>
  <c r="AX16" i="3"/>
  <c r="AY16" i="3"/>
  <c r="AA17" i="3"/>
  <c r="AB17" i="3"/>
  <c r="AD17" i="3"/>
  <c r="AH17" i="3"/>
  <c r="AI17" i="3"/>
  <c r="AL17" i="3"/>
  <c r="AM17" i="3"/>
  <c r="AN17" i="3"/>
  <c r="AO17" i="3"/>
  <c r="T17" i="3" s="1"/>
  <c r="AP17" i="3"/>
  <c r="Q17" i="3" s="1"/>
  <c r="AQ17" i="3"/>
  <c r="R17" i="3" s="1"/>
  <c r="AR17" i="3"/>
  <c r="S17" i="3" s="1"/>
  <c r="AS17" i="3"/>
  <c r="AT17" i="3"/>
  <c r="AX17" i="3"/>
  <c r="AY17" i="3"/>
  <c r="AA18" i="3"/>
  <c r="AB18" i="3"/>
  <c r="AD18" i="3"/>
  <c r="AH18" i="3"/>
  <c r="AI18" i="3"/>
  <c r="AL18" i="3"/>
  <c r="AM18" i="3"/>
  <c r="AN18" i="3"/>
  <c r="L18" i="3" s="1"/>
  <c r="AO18" i="3"/>
  <c r="T18" i="3" s="1"/>
  <c r="AP18" i="3"/>
  <c r="Q18" i="3" s="1"/>
  <c r="AQ18" i="3"/>
  <c r="R18" i="3" s="1"/>
  <c r="AR18" i="3"/>
  <c r="S18" i="3" s="1"/>
  <c r="AS18" i="3"/>
  <c r="AT18" i="3"/>
  <c r="AX18" i="3"/>
  <c r="AY18" i="3"/>
  <c r="AA19" i="3"/>
  <c r="AB19" i="3"/>
  <c r="AD19" i="3"/>
  <c r="AH19" i="3"/>
  <c r="AI19" i="3"/>
  <c r="AL19" i="3"/>
  <c r="AM19" i="3"/>
  <c r="AN19" i="3"/>
  <c r="L19" i="3" s="1"/>
  <c r="AJ19" i="3" s="1"/>
  <c r="AO19" i="3"/>
  <c r="T19" i="3" s="1"/>
  <c r="AP19" i="3"/>
  <c r="Q19" i="3" s="1"/>
  <c r="AQ19" i="3"/>
  <c r="R19" i="3" s="1"/>
  <c r="AR19" i="3"/>
  <c r="S19" i="3" s="1"/>
  <c r="AS19" i="3"/>
  <c r="AT19" i="3"/>
  <c r="AX19" i="3"/>
  <c r="AY19" i="3"/>
  <c r="AA20" i="3"/>
  <c r="AB20" i="3"/>
  <c r="AD20" i="3"/>
  <c r="AH20" i="3"/>
  <c r="AI20" i="3"/>
  <c r="AL20" i="3"/>
  <c r="AM20" i="3"/>
  <c r="AN20" i="3"/>
  <c r="L20" i="3" s="1"/>
  <c r="AO20" i="3"/>
  <c r="T20" i="3" s="1"/>
  <c r="AP20" i="3"/>
  <c r="Q20" i="3" s="1"/>
  <c r="AQ20" i="3"/>
  <c r="R20" i="3" s="1"/>
  <c r="AR20" i="3"/>
  <c r="S20" i="3" s="1"/>
  <c r="AS20" i="3"/>
  <c r="AT20" i="3"/>
  <c r="AX20" i="3"/>
  <c r="AY20" i="3"/>
  <c r="AA21" i="3"/>
  <c r="AB21" i="3"/>
  <c r="AD21" i="3"/>
  <c r="AH21" i="3"/>
  <c r="AI21" i="3"/>
  <c r="AL21" i="3"/>
  <c r="AM21" i="3"/>
  <c r="AN21" i="3"/>
  <c r="L21" i="3" s="1"/>
  <c r="AO21" i="3"/>
  <c r="T21" i="3" s="1"/>
  <c r="AP21" i="3"/>
  <c r="Q21" i="3" s="1"/>
  <c r="AQ21" i="3"/>
  <c r="R21" i="3" s="1"/>
  <c r="AR21" i="3"/>
  <c r="S21" i="3" s="1"/>
  <c r="AS21" i="3"/>
  <c r="AT21" i="3"/>
  <c r="AX21" i="3"/>
  <c r="AA22" i="3"/>
  <c r="AB22" i="3"/>
  <c r="AD22" i="3"/>
  <c r="AH22" i="3"/>
  <c r="AI22" i="3"/>
  <c r="AL22" i="3"/>
  <c r="AM22" i="3"/>
  <c r="AN22" i="3"/>
  <c r="AO22" i="3"/>
  <c r="T22" i="3" s="1"/>
  <c r="AP22" i="3"/>
  <c r="Q22" i="3" s="1"/>
  <c r="AQ22" i="3"/>
  <c r="R22" i="3" s="1"/>
  <c r="AR22" i="3"/>
  <c r="S22" i="3" s="1"/>
  <c r="AS22" i="3"/>
  <c r="AT22" i="3"/>
  <c r="AX22" i="3"/>
  <c r="AY22" i="3"/>
  <c r="AA23" i="3"/>
  <c r="AB23" i="3"/>
  <c r="AD23" i="3"/>
  <c r="AH23" i="3"/>
  <c r="AI23" i="3"/>
  <c r="AL23" i="3"/>
  <c r="AM23" i="3"/>
  <c r="AN23" i="3"/>
  <c r="AO23" i="3"/>
  <c r="T23" i="3" s="1"/>
  <c r="AP23" i="3"/>
  <c r="Q23" i="3" s="1"/>
  <c r="AQ23" i="3"/>
  <c r="R23" i="3" s="1"/>
  <c r="AR23" i="3"/>
  <c r="S23" i="3" s="1"/>
  <c r="AS23" i="3"/>
  <c r="AT23" i="3"/>
  <c r="AX23" i="3"/>
  <c r="AA24" i="3"/>
  <c r="AB24" i="3"/>
  <c r="AD24" i="3"/>
  <c r="AH24" i="3"/>
  <c r="AI24" i="3"/>
  <c r="AL24" i="3"/>
  <c r="AM24" i="3"/>
  <c r="AN24" i="3"/>
  <c r="AO24" i="3"/>
  <c r="T24" i="3" s="1"/>
  <c r="AP24" i="3"/>
  <c r="Q24" i="3" s="1"/>
  <c r="AQ24" i="3"/>
  <c r="R24" i="3" s="1"/>
  <c r="AR24" i="3"/>
  <c r="S24" i="3" s="1"/>
  <c r="AS24" i="3"/>
  <c r="AT24" i="3"/>
  <c r="AX24" i="3"/>
  <c r="AY24" i="3"/>
  <c r="AA25" i="3"/>
  <c r="AB25" i="3"/>
  <c r="AD25" i="3"/>
  <c r="AH25" i="3"/>
  <c r="AI25" i="3"/>
  <c r="AL25" i="3"/>
  <c r="AM25" i="3"/>
  <c r="AN25" i="3"/>
  <c r="L25" i="3" s="1"/>
  <c r="AO25" i="3"/>
  <c r="T25" i="3" s="1"/>
  <c r="AP25" i="3"/>
  <c r="Q25" i="3" s="1"/>
  <c r="AQ25" i="3"/>
  <c r="R25" i="3" s="1"/>
  <c r="AR25" i="3"/>
  <c r="S25" i="3" s="1"/>
  <c r="AS25" i="3"/>
  <c r="AT25" i="3"/>
  <c r="AX25" i="3"/>
  <c r="AY25" i="3"/>
  <c r="AA26" i="3"/>
  <c r="AB26" i="3"/>
  <c r="AD26" i="3"/>
  <c r="AH26" i="3"/>
  <c r="AI26" i="3"/>
  <c r="AL26" i="3"/>
  <c r="AM26" i="3"/>
  <c r="AN26" i="3"/>
  <c r="L26" i="3" s="1"/>
  <c r="AJ26" i="3" s="1"/>
  <c r="AO26" i="3"/>
  <c r="T26" i="3" s="1"/>
  <c r="AP26" i="3"/>
  <c r="Q26" i="3" s="1"/>
  <c r="AQ26" i="3"/>
  <c r="R26" i="3" s="1"/>
  <c r="AR26" i="3"/>
  <c r="S26" i="3" s="1"/>
  <c r="AS26" i="3"/>
  <c r="AT26" i="3"/>
  <c r="AX26" i="3"/>
  <c r="AY26" i="3"/>
  <c r="AA27" i="3"/>
  <c r="AB27" i="3"/>
  <c r="AD27" i="3"/>
  <c r="AH27" i="3"/>
  <c r="AI27" i="3"/>
  <c r="AL27" i="3"/>
  <c r="AM27" i="3"/>
  <c r="AN27" i="3"/>
  <c r="L27" i="3" s="1"/>
  <c r="AJ27" i="3" s="1"/>
  <c r="AO27" i="3"/>
  <c r="T27" i="3" s="1"/>
  <c r="AP27" i="3"/>
  <c r="Q27" i="3" s="1"/>
  <c r="AQ27" i="3"/>
  <c r="R27" i="3" s="1"/>
  <c r="AR27" i="3"/>
  <c r="S27" i="3" s="1"/>
  <c r="AS27" i="3"/>
  <c r="AT27" i="3"/>
  <c r="AX27" i="3"/>
  <c r="AY27" i="3"/>
  <c r="AA28" i="3"/>
  <c r="AB28" i="3"/>
  <c r="AD28" i="3"/>
  <c r="AH28" i="3"/>
  <c r="AI28" i="3"/>
  <c r="AL28" i="3"/>
  <c r="AM28" i="3"/>
  <c r="AN28" i="3"/>
  <c r="AO28" i="3"/>
  <c r="T28" i="3" s="1"/>
  <c r="AP28" i="3"/>
  <c r="Q28" i="3" s="1"/>
  <c r="AQ28" i="3"/>
  <c r="R28" i="3" s="1"/>
  <c r="AR28" i="3"/>
  <c r="S28" i="3" s="1"/>
  <c r="AS28" i="3"/>
  <c r="AT28" i="3"/>
  <c r="AX28" i="3"/>
  <c r="AY28" i="3"/>
  <c r="AA29" i="3"/>
  <c r="AB29" i="3"/>
  <c r="AD29" i="3"/>
  <c r="AH29" i="3"/>
  <c r="AI29" i="3"/>
  <c r="AL29" i="3"/>
  <c r="AM29" i="3"/>
  <c r="AN29" i="3"/>
  <c r="AO29" i="3"/>
  <c r="T29" i="3" s="1"/>
  <c r="AP29" i="3"/>
  <c r="Q29" i="3" s="1"/>
  <c r="AQ29" i="3"/>
  <c r="R29" i="3" s="1"/>
  <c r="AR29" i="3"/>
  <c r="S29" i="3" s="1"/>
  <c r="AS29" i="3"/>
  <c r="AT29" i="3"/>
  <c r="AX29" i="3"/>
  <c r="AY29" i="3"/>
  <c r="AA30" i="3"/>
  <c r="AB30" i="3"/>
  <c r="AD30" i="3"/>
  <c r="AH30" i="3"/>
  <c r="AI30" i="3"/>
  <c r="AL30" i="3"/>
  <c r="AM30" i="3"/>
  <c r="AN30" i="3"/>
  <c r="AO30" i="3"/>
  <c r="T30" i="3" s="1"/>
  <c r="AP30" i="3"/>
  <c r="Q30" i="3" s="1"/>
  <c r="AQ30" i="3"/>
  <c r="R30" i="3" s="1"/>
  <c r="AR30" i="3"/>
  <c r="S30" i="3" s="1"/>
  <c r="AS30" i="3"/>
  <c r="AT30" i="3"/>
  <c r="AX30" i="3"/>
  <c r="AY30" i="3"/>
  <c r="AJ31" i="3"/>
  <c r="AA31" i="3"/>
  <c r="AB31" i="3"/>
  <c r="AD31" i="3"/>
  <c r="AH31" i="3"/>
  <c r="AI31" i="3"/>
  <c r="AL31" i="3"/>
  <c r="AM31" i="3"/>
  <c r="AN31" i="3"/>
  <c r="AO31" i="3"/>
  <c r="T31" i="3" s="1"/>
  <c r="AP31" i="3"/>
  <c r="Q31" i="3" s="1"/>
  <c r="AQ31" i="3"/>
  <c r="R31" i="3" s="1"/>
  <c r="AR31" i="3"/>
  <c r="S31" i="3" s="1"/>
  <c r="AS31" i="3"/>
  <c r="AT31" i="3"/>
  <c r="AX31" i="3"/>
  <c r="AY31" i="3"/>
  <c r="AJ32" i="3"/>
  <c r="AA32" i="3"/>
  <c r="AB32" i="3"/>
  <c r="AD32" i="3"/>
  <c r="AH32" i="3"/>
  <c r="AI32" i="3"/>
  <c r="AL32" i="3"/>
  <c r="AM32" i="3"/>
  <c r="AN32" i="3"/>
  <c r="L32" i="3" s="1"/>
  <c r="AO32" i="3"/>
  <c r="T32" i="3" s="1"/>
  <c r="AP32" i="3"/>
  <c r="Q32" i="3" s="1"/>
  <c r="AQ32" i="3"/>
  <c r="R32" i="3" s="1"/>
  <c r="AR32" i="3"/>
  <c r="S32" i="3" s="1"/>
  <c r="AS32" i="3"/>
  <c r="AT32" i="3"/>
  <c r="AX32" i="3"/>
  <c r="AY32" i="3"/>
  <c r="AA33" i="3"/>
  <c r="AB33" i="3"/>
  <c r="AD33" i="3"/>
  <c r="AH33" i="3"/>
  <c r="AI33" i="3"/>
  <c r="AL33" i="3"/>
  <c r="AM33" i="3"/>
  <c r="AN33" i="3"/>
  <c r="L33" i="3" s="1"/>
  <c r="AJ33" i="3" s="1"/>
  <c r="AO33" i="3"/>
  <c r="T33" i="3" s="1"/>
  <c r="AP33" i="3"/>
  <c r="Q33" i="3" s="1"/>
  <c r="AQ33" i="3"/>
  <c r="R33" i="3" s="1"/>
  <c r="AR33" i="3"/>
  <c r="S33" i="3" s="1"/>
  <c r="AS33" i="3"/>
  <c r="AT33" i="3"/>
  <c r="AX33" i="3"/>
  <c r="AY33" i="3"/>
  <c r="AA34" i="3"/>
  <c r="AB34" i="3"/>
  <c r="AD34" i="3"/>
  <c r="AH34" i="3"/>
  <c r="AI34" i="3"/>
  <c r="AL34" i="3"/>
  <c r="AM34" i="3"/>
  <c r="AN34" i="3"/>
  <c r="L34" i="3" s="1"/>
  <c r="AO34" i="3"/>
  <c r="T34" i="3" s="1"/>
  <c r="AP34" i="3"/>
  <c r="Q34" i="3" s="1"/>
  <c r="AQ34" i="3"/>
  <c r="R34" i="3" s="1"/>
  <c r="AR34" i="3"/>
  <c r="S34" i="3" s="1"/>
  <c r="AS34" i="3"/>
  <c r="AT34" i="3"/>
  <c r="AX34" i="3"/>
  <c r="AY34" i="3"/>
  <c r="AA35" i="3"/>
  <c r="AB35" i="3"/>
  <c r="AD35" i="3"/>
  <c r="AH35" i="3"/>
  <c r="AI35" i="3"/>
  <c r="AL35" i="3"/>
  <c r="AM35" i="3"/>
  <c r="AN35" i="3"/>
  <c r="L35" i="3" s="1"/>
  <c r="AO35" i="3"/>
  <c r="T35" i="3" s="1"/>
  <c r="AP35" i="3"/>
  <c r="Q35" i="3" s="1"/>
  <c r="AQ35" i="3"/>
  <c r="R35" i="3" s="1"/>
  <c r="AR35" i="3"/>
  <c r="S35" i="3" s="1"/>
  <c r="AS35" i="3"/>
  <c r="AT35" i="3"/>
  <c r="AX35" i="3"/>
  <c r="AY35" i="3"/>
  <c r="AA36" i="3"/>
  <c r="AB36" i="3"/>
  <c r="AD36" i="3"/>
  <c r="AH36" i="3"/>
  <c r="AI36" i="3"/>
  <c r="AL36" i="3"/>
  <c r="AM36" i="3"/>
  <c r="AN36" i="3"/>
  <c r="AO36" i="3"/>
  <c r="T36" i="3" s="1"/>
  <c r="AP36" i="3"/>
  <c r="Q36" i="3" s="1"/>
  <c r="AQ36" i="3"/>
  <c r="R36" i="3" s="1"/>
  <c r="AR36" i="3"/>
  <c r="S36" i="3" s="1"/>
  <c r="AS36" i="3"/>
  <c r="AT36" i="3"/>
  <c r="AX36" i="3"/>
  <c r="AY36" i="3"/>
  <c r="AA37" i="3"/>
  <c r="AB37" i="3"/>
  <c r="AD37" i="3"/>
  <c r="AH37" i="3"/>
  <c r="AL37" i="3"/>
  <c r="AM37" i="3"/>
  <c r="AN37" i="3"/>
  <c r="AO37" i="3"/>
  <c r="T37" i="3" s="1"/>
  <c r="AP37" i="3"/>
  <c r="Q37" i="3" s="1"/>
  <c r="AQ37" i="3"/>
  <c r="R37" i="3" s="1"/>
  <c r="AR37" i="3"/>
  <c r="AS37" i="3"/>
  <c r="AT37" i="3"/>
  <c r="AX37" i="3"/>
  <c r="AY37" i="3"/>
  <c r="AY38" i="3"/>
  <c r="AY39" i="3"/>
  <c r="AA40" i="3"/>
  <c r="AY40" i="3"/>
  <c r="AH42" i="3"/>
  <c r="AY42" i="3"/>
  <c r="M51" i="3"/>
  <c r="U51" i="3" s="1"/>
  <c r="AE54" i="3"/>
  <c r="AF54" i="3" s="1"/>
  <c r="AH54" i="3" s="1"/>
  <c r="M52" i="3" s="1"/>
  <c r="AE55" i="3"/>
  <c r="AF55" i="3" s="1"/>
  <c r="AH55" i="3" s="1"/>
  <c r="M53" i="3" s="1"/>
  <c r="AF2" i="9"/>
  <c r="M4" i="9"/>
  <c r="U4" i="9"/>
  <c r="AA7" i="9"/>
  <c r="AB7" i="9"/>
  <c r="AD7" i="9"/>
  <c r="AH7" i="9"/>
  <c r="AI7" i="9"/>
  <c r="AL7" i="9"/>
  <c r="AM7" i="9"/>
  <c r="AN7" i="9"/>
  <c r="AO7" i="9"/>
  <c r="T7" i="9" s="1"/>
  <c r="AP7" i="9"/>
  <c r="Q7" i="9" s="1"/>
  <c r="AQ7" i="9"/>
  <c r="R7" i="9" s="1"/>
  <c r="AR7" i="9"/>
  <c r="S7" i="9" s="1"/>
  <c r="AS7" i="9"/>
  <c r="AT7" i="9"/>
  <c r="AU7" i="9"/>
  <c r="N7" i="9" s="1"/>
  <c r="AA8" i="9"/>
  <c r="AB8" i="9"/>
  <c r="AD8" i="9"/>
  <c r="AH8" i="9"/>
  <c r="AI8" i="9"/>
  <c r="AL8" i="9"/>
  <c r="AM8" i="9"/>
  <c r="AN8" i="9"/>
  <c r="AO8" i="9"/>
  <c r="T8" i="9" s="1"/>
  <c r="AP8" i="9"/>
  <c r="Q8" i="9" s="1"/>
  <c r="AQ8" i="9"/>
  <c r="R8" i="9" s="1"/>
  <c r="AR8" i="9"/>
  <c r="S8" i="9" s="1"/>
  <c r="AS8" i="9"/>
  <c r="AT8" i="9"/>
  <c r="AA9" i="9"/>
  <c r="AB9" i="9"/>
  <c r="AD9" i="9"/>
  <c r="AH9" i="9"/>
  <c r="AI9" i="9"/>
  <c r="AL9" i="9"/>
  <c r="AM9" i="9"/>
  <c r="AN9" i="9"/>
  <c r="AO9" i="9"/>
  <c r="AP9" i="9"/>
  <c r="Q9" i="9" s="1"/>
  <c r="AQ9" i="9"/>
  <c r="R9" i="9" s="1"/>
  <c r="AR9" i="9"/>
  <c r="S9" i="9" s="1"/>
  <c r="AS9" i="9"/>
  <c r="AT9" i="9"/>
  <c r="AA10" i="9"/>
  <c r="AB10" i="9"/>
  <c r="AD10" i="9"/>
  <c r="AH10" i="9"/>
  <c r="AI10" i="9"/>
  <c r="AL10" i="9"/>
  <c r="AM10" i="9"/>
  <c r="AN10" i="9"/>
  <c r="AO10" i="9"/>
  <c r="T10" i="9" s="1"/>
  <c r="AP10" i="9"/>
  <c r="Q10" i="9" s="1"/>
  <c r="AQ10" i="9"/>
  <c r="R10" i="9" s="1"/>
  <c r="AR10" i="9"/>
  <c r="S10" i="9" s="1"/>
  <c r="AS10" i="9"/>
  <c r="AT10" i="9"/>
  <c r="AA11" i="9"/>
  <c r="AB11" i="9"/>
  <c r="AD11" i="9"/>
  <c r="AH11" i="9"/>
  <c r="AI11" i="9"/>
  <c r="AL11" i="9"/>
  <c r="AM11" i="9"/>
  <c r="AN11" i="9"/>
  <c r="AO11" i="9"/>
  <c r="T11" i="9" s="1"/>
  <c r="AP11" i="9"/>
  <c r="Q11" i="9" s="1"/>
  <c r="AQ11" i="9"/>
  <c r="R11" i="9" s="1"/>
  <c r="AR11" i="9"/>
  <c r="S11" i="9" s="1"/>
  <c r="AS11" i="9"/>
  <c r="AT11" i="9"/>
  <c r="AA12" i="9"/>
  <c r="AB12" i="9"/>
  <c r="AD12" i="9"/>
  <c r="AH12" i="9"/>
  <c r="AI12" i="9"/>
  <c r="AL12" i="9"/>
  <c r="AM12" i="9"/>
  <c r="AN12" i="9"/>
  <c r="L12" i="9" s="1"/>
  <c r="AO12" i="9"/>
  <c r="T12" i="9" s="1"/>
  <c r="AP12" i="9"/>
  <c r="Q12" i="9" s="1"/>
  <c r="AQ12" i="9"/>
  <c r="R12" i="9" s="1"/>
  <c r="AR12" i="9"/>
  <c r="S12" i="9" s="1"/>
  <c r="AS12" i="9"/>
  <c r="AT12" i="9"/>
  <c r="AJ13" i="9"/>
  <c r="AA13" i="9"/>
  <c r="AB13" i="9"/>
  <c r="AD13" i="9"/>
  <c r="AH13" i="9"/>
  <c r="AI13" i="9"/>
  <c r="AL13" i="9"/>
  <c r="AM13" i="9"/>
  <c r="AN13" i="9"/>
  <c r="AO13" i="9"/>
  <c r="T13" i="9" s="1"/>
  <c r="AP13" i="9"/>
  <c r="Q13" i="9" s="1"/>
  <c r="AQ13" i="9"/>
  <c r="R13" i="9" s="1"/>
  <c r="AR13" i="9"/>
  <c r="S13" i="9" s="1"/>
  <c r="AS13" i="9"/>
  <c r="AT13" i="9"/>
  <c r="AA14" i="9"/>
  <c r="AB14" i="9"/>
  <c r="AD14" i="9"/>
  <c r="AH14" i="9"/>
  <c r="AI14" i="9"/>
  <c r="AL14" i="9"/>
  <c r="AM14" i="9"/>
  <c r="AN14" i="9"/>
  <c r="AO14" i="9"/>
  <c r="T14" i="9" s="1"/>
  <c r="AP14" i="9"/>
  <c r="Q14" i="9" s="1"/>
  <c r="AQ14" i="9"/>
  <c r="R14" i="9" s="1"/>
  <c r="AR14" i="9"/>
  <c r="S14" i="9" s="1"/>
  <c r="AS14" i="9"/>
  <c r="AT14" i="9"/>
  <c r="AA15" i="9"/>
  <c r="AB15" i="9"/>
  <c r="AD15" i="9"/>
  <c r="AH15" i="9"/>
  <c r="AI15" i="9"/>
  <c r="AL15" i="9"/>
  <c r="AM15" i="9"/>
  <c r="AN15" i="9"/>
  <c r="AO15" i="9"/>
  <c r="T15" i="9" s="1"/>
  <c r="AP15" i="9"/>
  <c r="Q15" i="9" s="1"/>
  <c r="AQ15" i="9"/>
  <c r="R15" i="9" s="1"/>
  <c r="AR15" i="9"/>
  <c r="S15" i="9" s="1"/>
  <c r="AS15" i="9"/>
  <c r="AT15" i="9"/>
  <c r="AA16" i="9"/>
  <c r="AB16" i="9"/>
  <c r="AD16" i="9"/>
  <c r="AH16" i="9"/>
  <c r="AI16" i="9"/>
  <c r="AL16" i="9"/>
  <c r="AM16" i="9"/>
  <c r="AN16" i="9"/>
  <c r="AO16" i="9"/>
  <c r="T16" i="9" s="1"/>
  <c r="AP16" i="9"/>
  <c r="Q16" i="9" s="1"/>
  <c r="AQ16" i="9"/>
  <c r="R16" i="9" s="1"/>
  <c r="AR16" i="9"/>
  <c r="S16" i="9" s="1"/>
  <c r="AS16" i="9"/>
  <c r="AT16" i="9"/>
  <c r="AA17" i="9"/>
  <c r="AB17" i="9"/>
  <c r="AD17" i="9"/>
  <c r="AH17" i="9"/>
  <c r="AI17" i="9"/>
  <c r="AL17" i="9"/>
  <c r="AM17" i="9"/>
  <c r="AN17" i="9"/>
  <c r="AO17" i="9"/>
  <c r="T17" i="9" s="1"/>
  <c r="AP17" i="9"/>
  <c r="Q17" i="9" s="1"/>
  <c r="AQ17" i="9"/>
  <c r="R17" i="9" s="1"/>
  <c r="AR17" i="9"/>
  <c r="S17" i="9" s="1"/>
  <c r="AS17" i="9"/>
  <c r="AT17" i="9"/>
  <c r="AJ18" i="9"/>
  <c r="AA18" i="9"/>
  <c r="AB18" i="9"/>
  <c r="AD18" i="9"/>
  <c r="AH18" i="9"/>
  <c r="AI18" i="9"/>
  <c r="AL18" i="9"/>
  <c r="AM18" i="9"/>
  <c r="AN18" i="9"/>
  <c r="AO18" i="9"/>
  <c r="T18" i="9" s="1"/>
  <c r="AP18" i="9"/>
  <c r="Q18" i="9" s="1"/>
  <c r="AQ18" i="9"/>
  <c r="R18" i="9" s="1"/>
  <c r="AR18" i="9"/>
  <c r="S18" i="9" s="1"/>
  <c r="AS18" i="9"/>
  <c r="AT18" i="9"/>
  <c r="AA19" i="9"/>
  <c r="AB19" i="9"/>
  <c r="AD19" i="9"/>
  <c r="AH19" i="9"/>
  <c r="AI19" i="9"/>
  <c r="AL19" i="9"/>
  <c r="AM19" i="9"/>
  <c r="AN19" i="9"/>
  <c r="L19" i="9" s="1"/>
  <c r="AO19" i="9"/>
  <c r="T19" i="9" s="1"/>
  <c r="AP19" i="9"/>
  <c r="Q19" i="9" s="1"/>
  <c r="AQ19" i="9"/>
  <c r="R19" i="9" s="1"/>
  <c r="AR19" i="9"/>
  <c r="S19" i="9" s="1"/>
  <c r="AS19" i="9"/>
  <c r="AT19" i="9"/>
  <c r="AA20" i="9"/>
  <c r="AB20" i="9"/>
  <c r="AD20" i="9"/>
  <c r="AH20" i="9"/>
  <c r="AI20" i="9"/>
  <c r="AL20" i="9"/>
  <c r="AM20" i="9"/>
  <c r="AN20" i="9"/>
  <c r="AO20" i="9"/>
  <c r="T20" i="9" s="1"/>
  <c r="AP20" i="9"/>
  <c r="Q20" i="9" s="1"/>
  <c r="AQ20" i="9"/>
  <c r="R20" i="9" s="1"/>
  <c r="AR20" i="9"/>
  <c r="S20" i="9" s="1"/>
  <c r="AS20" i="9"/>
  <c r="AT20" i="9"/>
  <c r="AA21" i="9"/>
  <c r="AB21" i="9"/>
  <c r="AD21" i="9"/>
  <c r="AH21" i="9"/>
  <c r="AI21" i="9"/>
  <c r="AL21" i="9"/>
  <c r="AM21" i="9"/>
  <c r="AN21" i="9"/>
  <c r="AO21" i="9"/>
  <c r="T21" i="9" s="1"/>
  <c r="AP21" i="9"/>
  <c r="Q21" i="9" s="1"/>
  <c r="AQ21" i="9"/>
  <c r="R21" i="9" s="1"/>
  <c r="AR21" i="9"/>
  <c r="S21" i="9" s="1"/>
  <c r="AS21" i="9"/>
  <c r="AT21" i="9"/>
  <c r="AA22" i="9"/>
  <c r="AB22" i="9"/>
  <c r="AD22" i="9"/>
  <c r="AH22" i="9"/>
  <c r="AI22" i="9"/>
  <c r="AL22" i="9"/>
  <c r="AM22" i="9"/>
  <c r="AN22" i="9"/>
  <c r="AO22" i="9"/>
  <c r="T22" i="9" s="1"/>
  <c r="AP22" i="9"/>
  <c r="Q22" i="9" s="1"/>
  <c r="AQ22" i="9"/>
  <c r="R22" i="9" s="1"/>
  <c r="AR22" i="9"/>
  <c r="S22" i="9" s="1"/>
  <c r="AS22" i="9"/>
  <c r="AT22" i="9"/>
  <c r="AA23" i="9"/>
  <c r="AB23" i="9"/>
  <c r="AD23" i="9"/>
  <c r="AH23" i="9"/>
  <c r="AI23" i="9"/>
  <c r="AL23" i="9"/>
  <c r="AM23" i="9"/>
  <c r="AN23" i="9"/>
  <c r="AO23" i="9"/>
  <c r="T23" i="9" s="1"/>
  <c r="AP23" i="9"/>
  <c r="Q23" i="9" s="1"/>
  <c r="AQ23" i="9"/>
  <c r="R23" i="9" s="1"/>
  <c r="AR23" i="9"/>
  <c r="S23" i="9" s="1"/>
  <c r="AS23" i="9"/>
  <c r="AT23" i="9"/>
  <c r="AA24" i="9"/>
  <c r="AB24" i="9"/>
  <c r="AD24" i="9"/>
  <c r="AH24" i="9"/>
  <c r="AI24" i="9"/>
  <c r="AL24" i="9"/>
  <c r="AM24" i="9"/>
  <c r="AN24" i="9"/>
  <c r="AO24" i="9"/>
  <c r="T24" i="9" s="1"/>
  <c r="AP24" i="9"/>
  <c r="Q24" i="9" s="1"/>
  <c r="AQ24" i="9"/>
  <c r="R24" i="9" s="1"/>
  <c r="AR24" i="9"/>
  <c r="S24" i="9" s="1"/>
  <c r="AS24" i="9"/>
  <c r="AT24" i="9"/>
  <c r="AA25" i="9"/>
  <c r="AB25" i="9"/>
  <c r="AD25" i="9"/>
  <c r="AH25" i="9"/>
  <c r="AI25" i="9"/>
  <c r="AL25" i="9"/>
  <c r="AM25" i="9"/>
  <c r="AN25" i="9"/>
  <c r="AO25" i="9"/>
  <c r="T25" i="9" s="1"/>
  <c r="AP25" i="9"/>
  <c r="Q25" i="9" s="1"/>
  <c r="AQ25" i="9"/>
  <c r="R25" i="9" s="1"/>
  <c r="AR25" i="9"/>
  <c r="S25" i="9" s="1"/>
  <c r="AS25" i="9"/>
  <c r="AT25" i="9"/>
  <c r="AJ26" i="9"/>
  <c r="AA26" i="9"/>
  <c r="AB26" i="9"/>
  <c r="AD26" i="9"/>
  <c r="AH26" i="9"/>
  <c r="AI26" i="9"/>
  <c r="AL26" i="9"/>
  <c r="AM26" i="9"/>
  <c r="AN26" i="9"/>
  <c r="L26" i="9" s="1"/>
  <c r="AO26" i="9"/>
  <c r="T26" i="9" s="1"/>
  <c r="AP26" i="9"/>
  <c r="Q26" i="9" s="1"/>
  <c r="AQ26" i="9"/>
  <c r="R26" i="9" s="1"/>
  <c r="AR26" i="9"/>
  <c r="S26" i="9" s="1"/>
  <c r="AS26" i="9"/>
  <c r="AT26" i="9"/>
  <c r="AA27" i="9"/>
  <c r="AB27" i="9"/>
  <c r="AD27" i="9"/>
  <c r="AH27" i="9"/>
  <c r="AI27" i="9"/>
  <c r="AL27" i="9"/>
  <c r="AM27" i="9"/>
  <c r="AN27" i="9"/>
  <c r="AO27" i="9"/>
  <c r="T27" i="9" s="1"/>
  <c r="AP27" i="9"/>
  <c r="Q27" i="9" s="1"/>
  <c r="AQ27" i="9"/>
  <c r="R27" i="9" s="1"/>
  <c r="AR27" i="9"/>
  <c r="S27" i="9" s="1"/>
  <c r="AS27" i="9"/>
  <c r="AT27" i="9"/>
  <c r="AA28" i="9"/>
  <c r="AB28" i="9"/>
  <c r="AD28" i="9"/>
  <c r="AH28" i="9"/>
  <c r="AI28" i="9"/>
  <c r="AL28" i="9"/>
  <c r="AM28" i="9"/>
  <c r="AN28" i="9"/>
  <c r="AO28" i="9"/>
  <c r="T28" i="9" s="1"/>
  <c r="AP28" i="9"/>
  <c r="Q28" i="9" s="1"/>
  <c r="AQ28" i="9"/>
  <c r="R28" i="9" s="1"/>
  <c r="AR28" i="9"/>
  <c r="S28" i="9" s="1"/>
  <c r="AS28" i="9"/>
  <c r="AT28" i="9"/>
  <c r="AA29" i="9"/>
  <c r="AB29" i="9"/>
  <c r="AD29" i="9"/>
  <c r="AH29" i="9"/>
  <c r="AI29" i="9"/>
  <c r="AL29" i="9"/>
  <c r="AM29" i="9"/>
  <c r="AN29" i="9"/>
  <c r="AO29" i="9"/>
  <c r="T29" i="9" s="1"/>
  <c r="AP29" i="9"/>
  <c r="Q29" i="9" s="1"/>
  <c r="AQ29" i="9"/>
  <c r="R29" i="9" s="1"/>
  <c r="AR29" i="9"/>
  <c r="S29" i="9" s="1"/>
  <c r="AS29" i="9"/>
  <c r="AT29" i="9"/>
  <c r="AA30" i="9"/>
  <c r="AB30" i="9"/>
  <c r="AD30" i="9"/>
  <c r="AH30" i="9"/>
  <c r="AI30" i="9"/>
  <c r="AL30" i="9"/>
  <c r="AM30" i="9"/>
  <c r="AN30" i="9"/>
  <c r="AO30" i="9"/>
  <c r="T30" i="9" s="1"/>
  <c r="AP30" i="9"/>
  <c r="Q30" i="9" s="1"/>
  <c r="AQ30" i="9"/>
  <c r="R30" i="9" s="1"/>
  <c r="AR30" i="9"/>
  <c r="S30" i="9" s="1"/>
  <c r="AS30" i="9"/>
  <c r="AT30" i="9"/>
  <c r="AA31" i="9"/>
  <c r="AB31" i="9"/>
  <c r="AD31" i="9"/>
  <c r="AH31" i="9"/>
  <c r="AI31" i="9"/>
  <c r="AL31" i="9"/>
  <c r="AM31" i="9"/>
  <c r="AN31" i="9"/>
  <c r="AO31" i="9"/>
  <c r="T31" i="9" s="1"/>
  <c r="AP31" i="9"/>
  <c r="Q31" i="9" s="1"/>
  <c r="AQ31" i="9"/>
  <c r="R31" i="9" s="1"/>
  <c r="AR31" i="9"/>
  <c r="S31" i="9" s="1"/>
  <c r="AS31" i="9"/>
  <c r="AT31" i="9"/>
  <c r="AA32" i="9"/>
  <c r="AB32" i="9"/>
  <c r="AD32" i="9"/>
  <c r="AH32" i="9"/>
  <c r="AI32" i="9"/>
  <c r="AL32" i="9"/>
  <c r="AM32" i="9"/>
  <c r="AN32" i="9"/>
  <c r="AO32" i="9"/>
  <c r="T32" i="9" s="1"/>
  <c r="AP32" i="9"/>
  <c r="Q32" i="9" s="1"/>
  <c r="AQ32" i="9"/>
  <c r="R32" i="9" s="1"/>
  <c r="AR32" i="9"/>
  <c r="S32" i="9" s="1"/>
  <c r="AS32" i="9"/>
  <c r="AT32" i="9"/>
  <c r="AA33" i="9"/>
  <c r="AB33" i="9"/>
  <c r="AD33" i="9"/>
  <c r="AE33" i="9" s="1"/>
  <c r="V33" i="9" s="1"/>
  <c r="AH33" i="9"/>
  <c r="AI33" i="9"/>
  <c r="AL33" i="9"/>
  <c r="AM33" i="9"/>
  <c r="AN33" i="9"/>
  <c r="L33" i="9" s="1"/>
  <c r="AO33" i="9"/>
  <c r="T33" i="9" s="1"/>
  <c r="AP33" i="9"/>
  <c r="Q33" i="9" s="1"/>
  <c r="AQ33" i="9"/>
  <c r="R33" i="9" s="1"/>
  <c r="AR33" i="9"/>
  <c r="S33" i="9" s="1"/>
  <c r="AS33" i="9"/>
  <c r="AT33" i="9"/>
  <c r="AJ34" i="9"/>
  <c r="AA34" i="9"/>
  <c r="AB34" i="9"/>
  <c r="AD34" i="9"/>
  <c r="AH34" i="9"/>
  <c r="AI34" i="9"/>
  <c r="AL34" i="9"/>
  <c r="AM34" i="9"/>
  <c r="AN34" i="9"/>
  <c r="AO34" i="9"/>
  <c r="T34" i="9" s="1"/>
  <c r="AP34" i="9"/>
  <c r="Q34" i="9" s="1"/>
  <c r="AQ34" i="9"/>
  <c r="R34" i="9" s="1"/>
  <c r="AR34" i="9"/>
  <c r="S34" i="9" s="1"/>
  <c r="AS34" i="9"/>
  <c r="AT34" i="9"/>
  <c r="AA35" i="9"/>
  <c r="AB35" i="9"/>
  <c r="AD35" i="9"/>
  <c r="AH35" i="9"/>
  <c r="AI35" i="9"/>
  <c r="AL35" i="9"/>
  <c r="AM35" i="9"/>
  <c r="AN35" i="9"/>
  <c r="AO35" i="9"/>
  <c r="T35" i="9" s="1"/>
  <c r="AP35" i="9"/>
  <c r="Q35" i="9" s="1"/>
  <c r="AQ35" i="9"/>
  <c r="R35" i="9" s="1"/>
  <c r="AR35" i="9"/>
  <c r="S35" i="9" s="1"/>
  <c r="AS35" i="9"/>
  <c r="AT35" i="9"/>
  <c r="AA36" i="9"/>
  <c r="AB36" i="9"/>
  <c r="AD36" i="9"/>
  <c r="AH36" i="9"/>
  <c r="AI36" i="9"/>
  <c r="AL36" i="9"/>
  <c r="AM36" i="9"/>
  <c r="AN36" i="9"/>
  <c r="AO36" i="9"/>
  <c r="T36" i="9" s="1"/>
  <c r="AP36" i="9"/>
  <c r="Q36" i="9" s="1"/>
  <c r="AQ36" i="9"/>
  <c r="R36" i="9" s="1"/>
  <c r="AR36" i="9"/>
  <c r="S36" i="9" s="1"/>
  <c r="AS36" i="9"/>
  <c r="AT36" i="9"/>
  <c r="AA37" i="9"/>
  <c r="AB37" i="9"/>
  <c r="AD37" i="9"/>
  <c r="AH37" i="9"/>
  <c r="AI37" i="9"/>
  <c r="AL37" i="9"/>
  <c r="AM37" i="9"/>
  <c r="AN37" i="9"/>
  <c r="AO37" i="9"/>
  <c r="T37" i="9" s="1"/>
  <c r="AP37" i="9"/>
  <c r="Q37" i="9" s="1"/>
  <c r="AQ37" i="9"/>
  <c r="R37" i="9" s="1"/>
  <c r="AR37" i="9"/>
  <c r="S37" i="9" s="1"/>
  <c r="AS37" i="9"/>
  <c r="AT37" i="9"/>
  <c r="AA40" i="9"/>
  <c r="AH42" i="9"/>
  <c r="U51" i="9"/>
  <c r="AE54" i="9"/>
  <c r="AF54" i="9" s="1"/>
  <c r="AH54" i="9" s="1"/>
  <c r="M52" i="9" s="1"/>
  <c r="AE55" i="9"/>
  <c r="AF55" i="9" s="1"/>
  <c r="AH55" i="9" s="1"/>
  <c r="M53" i="9" s="1"/>
  <c r="AF2" i="8"/>
  <c r="M4" i="8"/>
  <c r="AA7" i="8"/>
  <c r="AB7" i="8"/>
  <c r="AD7" i="8"/>
  <c r="AH7" i="8"/>
  <c r="AI7" i="8"/>
  <c r="AL7" i="8"/>
  <c r="AM7" i="8"/>
  <c r="AN7" i="8"/>
  <c r="L7" i="8" s="1"/>
  <c r="AO7" i="8"/>
  <c r="T7" i="8" s="1"/>
  <c r="AP7" i="8"/>
  <c r="Q7" i="8" s="1"/>
  <c r="AQ7" i="8"/>
  <c r="R7" i="8" s="1"/>
  <c r="AR7" i="8"/>
  <c r="S7" i="8" s="1"/>
  <c r="AS7" i="8"/>
  <c r="AT7" i="8"/>
  <c r="AV9" i="8"/>
  <c r="AX7" i="8"/>
  <c r="AJ8" i="8"/>
  <c r="AA8" i="8"/>
  <c r="AB8" i="8"/>
  <c r="AD8" i="8"/>
  <c r="AH8" i="8"/>
  <c r="AI8" i="8"/>
  <c r="AL8" i="8"/>
  <c r="AM8" i="8"/>
  <c r="AN8" i="8"/>
  <c r="L8" i="8" s="1"/>
  <c r="AO8" i="8"/>
  <c r="T8" i="8" s="1"/>
  <c r="AP8" i="8"/>
  <c r="Q8" i="8" s="1"/>
  <c r="AQ8" i="8"/>
  <c r="R8" i="8" s="1"/>
  <c r="AR8" i="8"/>
  <c r="S8" i="8" s="1"/>
  <c r="AS8" i="8"/>
  <c r="AT8" i="8"/>
  <c r="AX8" i="8"/>
  <c r="AA9" i="8"/>
  <c r="AB9" i="8"/>
  <c r="AD9" i="8"/>
  <c r="AH9" i="8"/>
  <c r="AI9" i="8"/>
  <c r="AL9" i="8"/>
  <c r="AM9" i="8"/>
  <c r="AN9" i="8"/>
  <c r="AO9" i="8"/>
  <c r="T9" i="8" s="1"/>
  <c r="AP9" i="8"/>
  <c r="Q9" i="8" s="1"/>
  <c r="AQ9" i="8"/>
  <c r="R9" i="8" s="1"/>
  <c r="AR9" i="8"/>
  <c r="S9" i="8" s="1"/>
  <c r="AS9" i="8"/>
  <c r="AT9" i="8"/>
  <c r="AX9" i="8"/>
  <c r="AA10" i="8"/>
  <c r="AB10" i="8"/>
  <c r="AD10" i="8"/>
  <c r="AH10" i="8"/>
  <c r="AI10" i="8"/>
  <c r="AL10" i="8"/>
  <c r="AM10" i="8"/>
  <c r="AN10" i="8"/>
  <c r="AO10" i="8"/>
  <c r="T10" i="8" s="1"/>
  <c r="AP10" i="8"/>
  <c r="Q10" i="8" s="1"/>
  <c r="AQ10" i="8"/>
  <c r="R10" i="8" s="1"/>
  <c r="AR10" i="8"/>
  <c r="S10" i="8" s="1"/>
  <c r="AS10" i="8"/>
  <c r="AT10" i="8"/>
  <c r="AX10" i="8"/>
  <c r="AA11" i="8"/>
  <c r="AB11" i="8"/>
  <c r="AD11" i="8"/>
  <c r="AH11" i="8"/>
  <c r="AI11" i="8"/>
  <c r="AL11" i="8"/>
  <c r="AM11" i="8"/>
  <c r="AN11" i="8"/>
  <c r="AO11" i="8"/>
  <c r="T11" i="8" s="1"/>
  <c r="AP11" i="8"/>
  <c r="Q11" i="8" s="1"/>
  <c r="AQ11" i="8"/>
  <c r="R11" i="8" s="1"/>
  <c r="AR11" i="8"/>
  <c r="S11" i="8" s="1"/>
  <c r="AS11" i="8"/>
  <c r="AT11" i="8"/>
  <c r="AX11" i="8"/>
  <c r="AJ12" i="8"/>
  <c r="AA12" i="8"/>
  <c r="AB12" i="8"/>
  <c r="AD12" i="8"/>
  <c r="AH12" i="8"/>
  <c r="AI12" i="8"/>
  <c r="AL12" i="8"/>
  <c r="AM12" i="8"/>
  <c r="AN12" i="8"/>
  <c r="AO12" i="8"/>
  <c r="T12" i="8" s="1"/>
  <c r="AP12" i="8"/>
  <c r="Q12" i="8" s="1"/>
  <c r="AQ12" i="8"/>
  <c r="R12" i="8" s="1"/>
  <c r="AR12" i="8"/>
  <c r="S12" i="8" s="1"/>
  <c r="AS12" i="8"/>
  <c r="AT12" i="8"/>
  <c r="AX12" i="8"/>
  <c r="AJ13" i="8"/>
  <c r="AA13" i="8"/>
  <c r="AB13" i="8"/>
  <c r="AD13" i="8"/>
  <c r="AH13" i="8"/>
  <c r="AI13" i="8"/>
  <c r="AL13" i="8"/>
  <c r="AM13" i="8"/>
  <c r="AN13" i="8"/>
  <c r="AO13" i="8"/>
  <c r="T13" i="8" s="1"/>
  <c r="AP13" i="8"/>
  <c r="Q13" i="8" s="1"/>
  <c r="AQ13" i="8"/>
  <c r="R13" i="8" s="1"/>
  <c r="AR13" i="8"/>
  <c r="S13" i="8" s="1"/>
  <c r="AS13" i="8"/>
  <c r="AT13" i="8"/>
  <c r="AX13" i="8"/>
  <c r="AJ14" i="8"/>
  <c r="AA14" i="8"/>
  <c r="AB14" i="8"/>
  <c r="AD14" i="8"/>
  <c r="AH14" i="8"/>
  <c r="AI14" i="8"/>
  <c r="AL14" i="8"/>
  <c r="AM14" i="8"/>
  <c r="AN14" i="8"/>
  <c r="L14" i="8" s="1"/>
  <c r="AO14" i="8"/>
  <c r="T14" i="8" s="1"/>
  <c r="AP14" i="8"/>
  <c r="Q14" i="8" s="1"/>
  <c r="AQ14" i="8"/>
  <c r="R14" i="8" s="1"/>
  <c r="AR14" i="8"/>
  <c r="S14" i="8" s="1"/>
  <c r="AS14" i="8"/>
  <c r="AT14" i="8"/>
  <c r="AX14" i="8"/>
  <c r="AA15" i="8"/>
  <c r="AB15" i="8"/>
  <c r="AD15" i="8"/>
  <c r="AH15" i="8"/>
  <c r="AI15" i="8"/>
  <c r="AL15" i="8"/>
  <c r="AM15" i="8"/>
  <c r="AN15" i="8"/>
  <c r="AO15" i="8"/>
  <c r="T15" i="8" s="1"/>
  <c r="AP15" i="8"/>
  <c r="Q15" i="8" s="1"/>
  <c r="AQ15" i="8"/>
  <c r="R15" i="8" s="1"/>
  <c r="AR15" i="8"/>
  <c r="S15" i="8" s="1"/>
  <c r="AS15" i="8"/>
  <c r="AT15" i="8"/>
  <c r="AX15" i="8"/>
  <c r="AA16" i="8"/>
  <c r="AB16" i="8"/>
  <c r="AD16" i="8"/>
  <c r="AH16" i="8"/>
  <c r="AI16" i="8"/>
  <c r="AJ16" i="8"/>
  <c r="AL16" i="8"/>
  <c r="AM16" i="8"/>
  <c r="AN16" i="8"/>
  <c r="AO16" i="8"/>
  <c r="T16" i="8" s="1"/>
  <c r="AP16" i="8"/>
  <c r="Q16" i="8" s="1"/>
  <c r="AQ16" i="8"/>
  <c r="R16" i="8" s="1"/>
  <c r="AR16" i="8"/>
  <c r="S16" i="8" s="1"/>
  <c r="AS16" i="8"/>
  <c r="AT16" i="8"/>
  <c r="AX16" i="8"/>
  <c r="AA17" i="8"/>
  <c r="AB17" i="8"/>
  <c r="AD17" i="8"/>
  <c r="AH17" i="8"/>
  <c r="AI17" i="8"/>
  <c r="AL17" i="8"/>
  <c r="AM17" i="8"/>
  <c r="AN17" i="8"/>
  <c r="AO17" i="8"/>
  <c r="T17" i="8" s="1"/>
  <c r="AP17" i="8"/>
  <c r="Q17" i="8" s="1"/>
  <c r="AQ17" i="8"/>
  <c r="R17" i="8" s="1"/>
  <c r="AR17" i="8"/>
  <c r="S17" i="8" s="1"/>
  <c r="AS17" i="8"/>
  <c r="AT17" i="8"/>
  <c r="AX17" i="8"/>
  <c r="AA18" i="8"/>
  <c r="AB18" i="8"/>
  <c r="AD18" i="8"/>
  <c r="AH18" i="8"/>
  <c r="AI18" i="8"/>
  <c r="AL18" i="8"/>
  <c r="AM18" i="8"/>
  <c r="AN18" i="8"/>
  <c r="AO18" i="8"/>
  <c r="T18" i="8" s="1"/>
  <c r="AP18" i="8"/>
  <c r="Q18" i="8" s="1"/>
  <c r="AQ18" i="8"/>
  <c r="R18" i="8" s="1"/>
  <c r="AR18" i="8"/>
  <c r="S18" i="8" s="1"/>
  <c r="AS18" i="8"/>
  <c r="AT18" i="8"/>
  <c r="AX18" i="8"/>
  <c r="AA19" i="8"/>
  <c r="AB19" i="8"/>
  <c r="AD19" i="8"/>
  <c r="AH19" i="8"/>
  <c r="AI19" i="8"/>
  <c r="AL19" i="8"/>
  <c r="AM19" i="8"/>
  <c r="AN19" i="8"/>
  <c r="AO19" i="8"/>
  <c r="T19" i="8" s="1"/>
  <c r="AP19" i="8"/>
  <c r="Q19" i="8" s="1"/>
  <c r="AQ19" i="8"/>
  <c r="R19" i="8" s="1"/>
  <c r="AR19" i="8"/>
  <c r="S19" i="8" s="1"/>
  <c r="AS19" i="8"/>
  <c r="AT19" i="8"/>
  <c r="AX19" i="8"/>
  <c r="AA20" i="8"/>
  <c r="AB20" i="8"/>
  <c r="AD20" i="8"/>
  <c r="AH20" i="8"/>
  <c r="AI20" i="8"/>
  <c r="AL20" i="8"/>
  <c r="AM20" i="8"/>
  <c r="AN20" i="8"/>
  <c r="AO20" i="8"/>
  <c r="T20" i="8" s="1"/>
  <c r="AP20" i="8"/>
  <c r="Q20" i="8" s="1"/>
  <c r="AQ20" i="8"/>
  <c r="R20" i="8" s="1"/>
  <c r="AR20" i="8"/>
  <c r="S20" i="8" s="1"/>
  <c r="AS20" i="8"/>
  <c r="AT20" i="8"/>
  <c r="AX20" i="8"/>
  <c r="AA21" i="8"/>
  <c r="AB21" i="8"/>
  <c r="AD21" i="8"/>
  <c r="AH21" i="8"/>
  <c r="AI21" i="8"/>
  <c r="AL21" i="8"/>
  <c r="AM21" i="8"/>
  <c r="AN21" i="8"/>
  <c r="L21" i="8" s="1"/>
  <c r="AO21" i="8"/>
  <c r="T21" i="8" s="1"/>
  <c r="AP21" i="8"/>
  <c r="Q21" i="8" s="1"/>
  <c r="AQ21" i="8"/>
  <c r="R21" i="8" s="1"/>
  <c r="AR21" i="8"/>
  <c r="S21" i="8" s="1"/>
  <c r="AS21" i="8"/>
  <c r="AT21" i="8"/>
  <c r="AX21" i="8"/>
  <c r="AJ22" i="8"/>
  <c r="AA22" i="8"/>
  <c r="AB22" i="8"/>
  <c r="AD22" i="8"/>
  <c r="AH22" i="8"/>
  <c r="AI22" i="8"/>
  <c r="AL22" i="8"/>
  <c r="AM22" i="8"/>
  <c r="AN22" i="8"/>
  <c r="AO22" i="8"/>
  <c r="T22" i="8" s="1"/>
  <c r="AP22" i="8"/>
  <c r="Q22" i="8" s="1"/>
  <c r="AQ22" i="8"/>
  <c r="R22" i="8" s="1"/>
  <c r="AR22" i="8"/>
  <c r="S22" i="8" s="1"/>
  <c r="AS22" i="8"/>
  <c r="AT22" i="8"/>
  <c r="AX22" i="8"/>
  <c r="AA23" i="8"/>
  <c r="AB23" i="8"/>
  <c r="AD23" i="8"/>
  <c r="AH23" i="8"/>
  <c r="AI23" i="8"/>
  <c r="AL23" i="8"/>
  <c r="AM23" i="8"/>
  <c r="AN23" i="8"/>
  <c r="AO23" i="8"/>
  <c r="T23" i="8" s="1"/>
  <c r="AP23" i="8"/>
  <c r="Q23" i="8" s="1"/>
  <c r="AQ23" i="8"/>
  <c r="R23" i="8" s="1"/>
  <c r="AR23" i="8"/>
  <c r="S23" i="8" s="1"/>
  <c r="AS23" i="8"/>
  <c r="AT23" i="8"/>
  <c r="AX23" i="8"/>
  <c r="AA24" i="8"/>
  <c r="AB24" i="8"/>
  <c r="AD24" i="8"/>
  <c r="AH24" i="8"/>
  <c r="AI24" i="8"/>
  <c r="AL24" i="8"/>
  <c r="AM24" i="8"/>
  <c r="AN24" i="8"/>
  <c r="AO24" i="8"/>
  <c r="T24" i="8" s="1"/>
  <c r="AP24" i="8"/>
  <c r="Q24" i="8" s="1"/>
  <c r="AQ24" i="8"/>
  <c r="R24" i="8" s="1"/>
  <c r="AR24" i="8"/>
  <c r="S24" i="8" s="1"/>
  <c r="AS24" i="8"/>
  <c r="AT24" i="8"/>
  <c r="AX24" i="8"/>
  <c r="AA25" i="8"/>
  <c r="AB25" i="8"/>
  <c r="AD25" i="8"/>
  <c r="AH25" i="8"/>
  <c r="AI25" i="8"/>
  <c r="AL25" i="8"/>
  <c r="AM25" i="8"/>
  <c r="AN25" i="8"/>
  <c r="AO25" i="8"/>
  <c r="T25" i="8" s="1"/>
  <c r="AP25" i="8"/>
  <c r="Q25" i="8" s="1"/>
  <c r="AQ25" i="8"/>
  <c r="R25" i="8" s="1"/>
  <c r="AR25" i="8"/>
  <c r="S25" i="8" s="1"/>
  <c r="AS25" i="8"/>
  <c r="AT25" i="8"/>
  <c r="AX25" i="8"/>
  <c r="AJ26" i="8"/>
  <c r="AA26" i="8"/>
  <c r="AB26" i="8"/>
  <c r="AD26" i="8"/>
  <c r="AH26" i="8"/>
  <c r="AI26" i="8"/>
  <c r="AL26" i="8"/>
  <c r="AM26" i="8"/>
  <c r="AN26" i="8"/>
  <c r="AO26" i="8"/>
  <c r="T26" i="8" s="1"/>
  <c r="AP26" i="8"/>
  <c r="Q26" i="8" s="1"/>
  <c r="AQ26" i="8"/>
  <c r="R26" i="8" s="1"/>
  <c r="AR26" i="8"/>
  <c r="S26" i="8" s="1"/>
  <c r="AS26" i="8"/>
  <c r="AT26" i="8"/>
  <c r="AX26" i="8"/>
  <c r="AJ27" i="8"/>
  <c r="AA27" i="8"/>
  <c r="AB27" i="8"/>
  <c r="AD27" i="8"/>
  <c r="AH27" i="8"/>
  <c r="AI27" i="8"/>
  <c r="AL27" i="8"/>
  <c r="AM27" i="8"/>
  <c r="AN27" i="8"/>
  <c r="AO27" i="8"/>
  <c r="T27" i="8" s="1"/>
  <c r="AP27" i="8"/>
  <c r="Q27" i="8" s="1"/>
  <c r="AQ27" i="8"/>
  <c r="R27" i="8" s="1"/>
  <c r="AR27" i="8"/>
  <c r="S27" i="8" s="1"/>
  <c r="AS27" i="8"/>
  <c r="AT27" i="8"/>
  <c r="AX27" i="8"/>
  <c r="AA28" i="8"/>
  <c r="AB28" i="8"/>
  <c r="AD28" i="8"/>
  <c r="AH28" i="8"/>
  <c r="AI28" i="8"/>
  <c r="AL28" i="8"/>
  <c r="AM28" i="8"/>
  <c r="AN28" i="8"/>
  <c r="L28" i="8" s="1"/>
  <c r="AO28" i="8"/>
  <c r="T28" i="8" s="1"/>
  <c r="AP28" i="8"/>
  <c r="Q28" i="8" s="1"/>
  <c r="AQ28" i="8"/>
  <c r="R28" i="8" s="1"/>
  <c r="AR28" i="8"/>
  <c r="S28" i="8" s="1"/>
  <c r="AS28" i="8"/>
  <c r="AT28" i="8"/>
  <c r="AX28" i="8"/>
  <c r="AA29" i="8"/>
  <c r="AB29" i="8"/>
  <c r="AD29" i="8"/>
  <c r="AH29" i="8"/>
  <c r="AI29" i="8"/>
  <c r="AL29" i="8"/>
  <c r="AM29" i="8"/>
  <c r="AN29" i="8"/>
  <c r="AO29" i="8"/>
  <c r="T29" i="8" s="1"/>
  <c r="AP29" i="8"/>
  <c r="Q29" i="8" s="1"/>
  <c r="AQ29" i="8"/>
  <c r="R29" i="8" s="1"/>
  <c r="AR29" i="8"/>
  <c r="S29" i="8" s="1"/>
  <c r="AS29" i="8"/>
  <c r="AT29" i="8"/>
  <c r="AX29" i="8"/>
  <c r="AA30" i="8"/>
  <c r="AB30" i="8"/>
  <c r="AD30" i="8"/>
  <c r="AH30" i="8"/>
  <c r="AI30" i="8"/>
  <c r="AL30" i="8"/>
  <c r="AM30" i="8"/>
  <c r="AN30" i="8"/>
  <c r="AO30" i="8"/>
  <c r="T30" i="8" s="1"/>
  <c r="AP30" i="8"/>
  <c r="Q30" i="8" s="1"/>
  <c r="AQ30" i="8"/>
  <c r="R30" i="8" s="1"/>
  <c r="AR30" i="8"/>
  <c r="S30" i="8" s="1"/>
  <c r="AS30" i="8"/>
  <c r="AT30" i="8"/>
  <c r="AX30" i="8"/>
  <c r="AA31" i="8"/>
  <c r="AB31" i="8"/>
  <c r="AD31" i="8"/>
  <c r="AH31" i="8"/>
  <c r="AI31" i="8"/>
  <c r="AL31" i="8"/>
  <c r="AM31" i="8"/>
  <c r="AN31" i="8"/>
  <c r="AO31" i="8"/>
  <c r="T31" i="8" s="1"/>
  <c r="AP31" i="8"/>
  <c r="Q31" i="8" s="1"/>
  <c r="AQ31" i="8"/>
  <c r="R31" i="8" s="1"/>
  <c r="AR31" i="8"/>
  <c r="S31" i="8" s="1"/>
  <c r="AS31" i="8"/>
  <c r="AT31" i="8"/>
  <c r="AX31" i="8"/>
  <c r="AA32" i="8"/>
  <c r="AB32" i="8"/>
  <c r="AD32" i="8"/>
  <c r="AH32" i="8"/>
  <c r="AI32" i="8"/>
  <c r="AL32" i="8"/>
  <c r="AM32" i="8"/>
  <c r="AN32" i="8"/>
  <c r="AO32" i="8"/>
  <c r="T32" i="8" s="1"/>
  <c r="AP32" i="8"/>
  <c r="Q32" i="8" s="1"/>
  <c r="AQ32" i="8"/>
  <c r="R32" i="8" s="1"/>
  <c r="AR32" i="8"/>
  <c r="S32" i="8" s="1"/>
  <c r="AS32" i="8"/>
  <c r="AT32" i="8"/>
  <c r="AX32" i="8"/>
  <c r="AA33" i="8"/>
  <c r="AB33" i="8"/>
  <c r="AD33" i="8"/>
  <c r="AH33" i="8"/>
  <c r="AI33" i="8"/>
  <c r="AL33" i="8"/>
  <c r="AM33" i="8"/>
  <c r="AN33" i="8"/>
  <c r="AO33" i="8"/>
  <c r="T33" i="8" s="1"/>
  <c r="AP33" i="8"/>
  <c r="Q33" i="8" s="1"/>
  <c r="AQ33" i="8"/>
  <c r="R33" i="8" s="1"/>
  <c r="AR33" i="8"/>
  <c r="S33" i="8" s="1"/>
  <c r="AS33" i="8"/>
  <c r="AT33" i="8"/>
  <c r="AX33" i="8"/>
  <c r="AA34" i="8"/>
  <c r="AB34" i="8"/>
  <c r="AD34" i="8"/>
  <c r="AH34" i="8"/>
  <c r="AI34" i="8"/>
  <c r="AL34" i="8"/>
  <c r="AM34" i="8"/>
  <c r="AN34" i="8"/>
  <c r="AO34" i="8"/>
  <c r="T34" i="8" s="1"/>
  <c r="AP34" i="8"/>
  <c r="AQ34" i="8"/>
  <c r="R34" i="8" s="1"/>
  <c r="AR34" i="8"/>
  <c r="S34" i="8" s="1"/>
  <c r="AS34" i="8"/>
  <c r="AT34" i="8"/>
  <c r="AX34" i="8"/>
  <c r="AA35" i="8"/>
  <c r="AB35" i="8"/>
  <c r="AD35" i="8"/>
  <c r="AH35" i="8"/>
  <c r="AI35" i="8"/>
  <c r="AJ35" i="8"/>
  <c r="AL35" i="8"/>
  <c r="AM35" i="8"/>
  <c r="AN35" i="8"/>
  <c r="L35" i="8" s="1"/>
  <c r="AO35" i="8"/>
  <c r="T35" i="8" s="1"/>
  <c r="AP35" i="8"/>
  <c r="Q35" i="8" s="1"/>
  <c r="AQ35" i="8"/>
  <c r="R35" i="8" s="1"/>
  <c r="AR35" i="8"/>
  <c r="S35" i="8" s="1"/>
  <c r="AS35" i="8"/>
  <c r="AT35" i="8"/>
  <c r="AX35" i="8"/>
  <c r="AJ36" i="8"/>
  <c r="AA36" i="8"/>
  <c r="AB36" i="8"/>
  <c r="AD36" i="8"/>
  <c r="AH36" i="8"/>
  <c r="AI36" i="8"/>
  <c r="AL36" i="8"/>
  <c r="AM36" i="8"/>
  <c r="AN36" i="8"/>
  <c r="AO36" i="8"/>
  <c r="T36" i="8" s="1"/>
  <c r="AP36" i="8"/>
  <c r="Q36" i="8" s="1"/>
  <c r="AQ36" i="8"/>
  <c r="R36" i="8" s="1"/>
  <c r="AR36" i="8"/>
  <c r="S36" i="8" s="1"/>
  <c r="AS36" i="8"/>
  <c r="AT36" i="8"/>
  <c r="AX36" i="8"/>
  <c r="AA39" i="8"/>
  <c r="AH41" i="8"/>
  <c r="U50" i="8"/>
  <c r="AE53" i="8"/>
  <c r="AF53" i="8" s="1"/>
  <c r="AH53" i="8" s="1"/>
  <c r="M51" i="8" s="1"/>
  <c r="AE54" i="8"/>
  <c r="AF54" i="8" s="1"/>
  <c r="AH54" i="8" s="1"/>
  <c r="M52" i="8" s="1"/>
  <c r="AF2" i="5"/>
  <c r="M4" i="5"/>
  <c r="U4" i="5"/>
  <c r="AA7" i="5"/>
  <c r="AB7" i="5"/>
  <c r="AD7" i="5"/>
  <c r="AH7" i="5"/>
  <c r="AI7" i="5"/>
  <c r="AL7" i="5"/>
  <c r="AM7" i="5"/>
  <c r="AN7" i="5"/>
  <c r="AO7" i="5"/>
  <c r="T7" i="5" s="1"/>
  <c r="AP7" i="5"/>
  <c r="Q7" i="5" s="1"/>
  <c r="AQ7" i="5"/>
  <c r="R7" i="5" s="1"/>
  <c r="AR7" i="5"/>
  <c r="S7" i="5" s="1"/>
  <c r="AS7" i="5"/>
  <c r="AT7" i="5"/>
  <c r="AX7" i="5"/>
  <c r="AA8" i="5"/>
  <c r="AB8" i="5"/>
  <c r="AD8" i="5"/>
  <c r="AH8" i="5"/>
  <c r="AI8" i="5"/>
  <c r="AL8" i="5"/>
  <c r="AM8" i="5"/>
  <c r="AN8" i="5"/>
  <c r="L8" i="5" s="1"/>
  <c r="AO8" i="5"/>
  <c r="T8" i="5" s="1"/>
  <c r="AP8" i="5"/>
  <c r="Q8" i="5" s="1"/>
  <c r="AQ8" i="5"/>
  <c r="R8" i="5" s="1"/>
  <c r="AR8" i="5"/>
  <c r="S8" i="5" s="1"/>
  <c r="AS8" i="5"/>
  <c r="AT8" i="5"/>
  <c r="AX8" i="5"/>
  <c r="AJ9" i="5"/>
  <c r="AA9" i="5"/>
  <c r="AB9" i="5"/>
  <c r="AD9" i="5"/>
  <c r="AH9" i="5"/>
  <c r="AI9" i="5"/>
  <c r="AL9" i="5"/>
  <c r="AM9" i="5"/>
  <c r="AN9" i="5"/>
  <c r="AO9" i="5"/>
  <c r="T9" i="5" s="1"/>
  <c r="AP9" i="5"/>
  <c r="Q9" i="5" s="1"/>
  <c r="AQ9" i="5"/>
  <c r="R9" i="5" s="1"/>
  <c r="AR9" i="5"/>
  <c r="S9" i="5" s="1"/>
  <c r="AS9" i="5"/>
  <c r="AT9" i="5"/>
  <c r="AX9" i="5"/>
  <c r="AA10" i="5"/>
  <c r="AB10" i="5"/>
  <c r="AD10" i="5"/>
  <c r="AH10" i="5"/>
  <c r="AI10" i="5"/>
  <c r="AL10" i="5"/>
  <c r="AM10" i="5"/>
  <c r="AN10" i="5"/>
  <c r="AO10" i="5"/>
  <c r="T10" i="5" s="1"/>
  <c r="AP10" i="5"/>
  <c r="Q10" i="5" s="1"/>
  <c r="AQ10" i="5"/>
  <c r="R10" i="5" s="1"/>
  <c r="AR10" i="5"/>
  <c r="S10" i="5" s="1"/>
  <c r="AS10" i="5"/>
  <c r="AT10" i="5"/>
  <c r="AX10" i="5"/>
  <c r="AA11" i="5"/>
  <c r="AB11" i="5"/>
  <c r="AD11" i="5"/>
  <c r="AH11" i="5"/>
  <c r="AI11" i="5"/>
  <c r="AL11" i="5"/>
  <c r="AM11" i="5"/>
  <c r="AN11" i="5"/>
  <c r="AO11" i="5"/>
  <c r="T11" i="5" s="1"/>
  <c r="AP11" i="5"/>
  <c r="Q11" i="5" s="1"/>
  <c r="AQ11" i="5"/>
  <c r="R11" i="5" s="1"/>
  <c r="AR11" i="5"/>
  <c r="S11" i="5" s="1"/>
  <c r="AS11" i="5"/>
  <c r="AT11" i="5"/>
  <c r="AX11" i="5"/>
  <c r="AA12" i="5"/>
  <c r="AB12" i="5"/>
  <c r="AD12" i="5"/>
  <c r="AH12" i="5"/>
  <c r="AI12" i="5"/>
  <c r="AL12" i="5"/>
  <c r="AM12" i="5"/>
  <c r="AN12" i="5"/>
  <c r="AO12" i="5"/>
  <c r="T12" i="5" s="1"/>
  <c r="AP12" i="5"/>
  <c r="Q12" i="5" s="1"/>
  <c r="AQ12" i="5"/>
  <c r="R12" i="5" s="1"/>
  <c r="AR12" i="5"/>
  <c r="S12" i="5" s="1"/>
  <c r="AS12" i="5"/>
  <c r="AT12" i="5"/>
  <c r="AX12" i="5"/>
  <c r="AA13" i="5"/>
  <c r="AB13" i="5"/>
  <c r="AD13" i="5"/>
  <c r="AH13" i="5"/>
  <c r="AI13" i="5"/>
  <c r="AL13" i="5"/>
  <c r="AM13" i="5"/>
  <c r="AN13" i="5"/>
  <c r="AO13" i="5"/>
  <c r="T13" i="5" s="1"/>
  <c r="AP13" i="5"/>
  <c r="Q13" i="5" s="1"/>
  <c r="AQ13" i="5"/>
  <c r="R13" i="5" s="1"/>
  <c r="AR13" i="5"/>
  <c r="S13" i="5" s="1"/>
  <c r="AS13" i="5"/>
  <c r="AT13" i="5"/>
  <c r="AX13" i="5"/>
  <c r="AA14" i="5"/>
  <c r="AB14" i="5"/>
  <c r="AD14" i="5"/>
  <c r="AH14" i="5"/>
  <c r="AI14" i="5"/>
  <c r="AL14" i="5"/>
  <c r="AM14" i="5"/>
  <c r="AN14" i="5"/>
  <c r="AO14" i="5"/>
  <c r="T14" i="5" s="1"/>
  <c r="AP14" i="5"/>
  <c r="Q14" i="5" s="1"/>
  <c r="AQ14" i="5"/>
  <c r="R14" i="5" s="1"/>
  <c r="AR14" i="5"/>
  <c r="S14" i="5" s="1"/>
  <c r="AS14" i="5"/>
  <c r="AT14" i="5"/>
  <c r="AX14" i="5"/>
  <c r="AA15" i="5"/>
  <c r="AB15" i="5"/>
  <c r="AD15" i="5"/>
  <c r="AH15" i="5"/>
  <c r="AI15" i="5"/>
  <c r="AL15" i="5"/>
  <c r="AM15" i="5"/>
  <c r="AN15" i="5"/>
  <c r="L15" i="5" s="1"/>
  <c r="AO15" i="5"/>
  <c r="T15" i="5" s="1"/>
  <c r="AP15" i="5"/>
  <c r="Q15" i="5" s="1"/>
  <c r="AQ15" i="5"/>
  <c r="R15" i="5" s="1"/>
  <c r="AR15" i="5"/>
  <c r="S15" i="5" s="1"/>
  <c r="AS15" i="5"/>
  <c r="AT15" i="5"/>
  <c r="AX15" i="5"/>
  <c r="AA16" i="5"/>
  <c r="AB16" i="5"/>
  <c r="AD16" i="5"/>
  <c r="AH16" i="5"/>
  <c r="AI16" i="5"/>
  <c r="AJ16" i="5"/>
  <c r="AL16" i="5"/>
  <c r="AM16" i="5"/>
  <c r="AN16" i="5"/>
  <c r="AO16" i="5"/>
  <c r="T16" i="5" s="1"/>
  <c r="AP16" i="5"/>
  <c r="Q16" i="5" s="1"/>
  <c r="AQ16" i="5"/>
  <c r="R16" i="5" s="1"/>
  <c r="AR16" i="5"/>
  <c r="S16" i="5" s="1"/>
  <c r="AS16" i="5"/>
  <c r="AT16" i="5"/>
  <c r="AX16" i="5"/>
  <c r="AA17" i="5"/>
  <c r="AB17" i="5"/>
  <c r="AD17" i="5"/>
  <c r="AH17" i="5"/>
  <c r="AI17" i="5"/>
  <c r="AJ17" i="5"/>
  <c r="AL17" i="5"/>
  <c r="AM17" i="5"/>
  <c r="AN17" i="5"/>
  <c r="AO17" i="5"/>
  <c r="T17" i="5" s="1"/>
  <c r="AP17" i="5"/>
  <c r="Q17" i="5" s="1"/>
  <c r="AQ17" i="5"/>
  <c r="R17" i="5" s="1"/>
  <c r="AR17" i="5"/>
  <c r="S17" i="5" s="1"/>
  <c r="AS17" i="5"/>
  <c r="AT17" i="5"/>
  <c r="AX17" i="5"/>
  <c r="AA18" i="5"/>
  <c r="AB18" i="5"/>
  <c r="AD18" i="5"/>
  <c r="AH18" i="5"/>
  <c r="AI18" i="5"/>
  <c r="AL18" i="5"/>
  <c r="AM18" i="5"/>
  <c r="AN18" i="5"/>
  <c r="AO18" i="5"/>
  <c r="T18" i="5" s="1"/>
  <c r="AP18" i="5"/>
  <c r="Q18" i="5" s="1"/>
  <c r="AQ18" i="5"/>
  <c r="R18" i="5" s="1"/>
  <c r="AR18" i="5"/>
  <c r="S18" i="5" s="1"/>
  <c r="AS18" i="5"/>
  <c r="AT18" i="5"/>
  <c r="AX18" i="5"/>
  <c r="AA19" i="5"/>
  <c r="AB19" i="5"/>
  <c r="AD19" i="5"/>
  <c r="AH19" i="5"/>
  <c r="AI19" i="5"/>
  <c r="AL19" i="5"/>
  <c r="AM19" i="5"/>
  <c r="AN19" i="5"/>
  <c r="AO19" i="5"/>
  <c r="T19" i="5" s="1"/>
  <c r="AP19" i="5"/>
  <c r="Q19" i="5" s="1"/>
  <c r="AQ19" i="5"/>
  <c r="R19" i="5" s="1"/>
  <c r="AR19" i="5"/>
  <c r="S19" i="5" s="1"/>
  <c r="AS19" i="5"/>
  <c r="AT19" i="5"/>
  <c r="AX19" i="5"/>
  <c r="AA20" i="5"/>
  <c r="AB20" i="5"/>
  <c r="AD20" i="5"/>
  <c r="AH20" i="5"/>
  <c r="AI20" i="5"/>
  <c r="AL20" i="5"/>
  <c r="AM20" i="5"/>
  <c r="AN20" i="5"/>
  <c r="AO20" i="5"/>
  <c r="T20" i="5" s="1"/>
  <c r="AP20" i="5"/>
  <c r="Q20" i="5" s="1"/>
  <c r="AQ20" i="5"/>
  <c r="R20" i="5" s="1"/>
  <c r="AR20" i="5"/>
  <c r="S20" i="5" s="1"/>
  <c r="AS20" i="5"/>
  <c r="AT20" i="5"/>
  <c r="AX20" i="5"/>
  <c r="AA21" i="5"/>
  <c r="AB21" i="5"/>
  <c r="AD21" i="5"/>
  <c r="AH21" i="5"/>
  <c r="AI21" i="5"/>
  <c r="AL21" i="5"/>
  <c r="AM21" i="5"/>
  <c r="AN21" i="5"/>
  <c r="AO21" i="5"/>
  <c r="T21" i="5" s="1"/>
  <c r="AP21" i="5"/>
  <c r="Q21" i="5" s="1"/>
  <c r="AQ21" i="5"/>
  <c r="R21" i="5" s="1"/>
  <c r="AR21" i="5"/>
  <c r="S21" i="5" s="1"/>
  <c r="AS21" i="5"/>
  <c r="AT21" i="5"/>
  <c r="AX21" i="5"/>
  <c r="AA22" i="5"/>
  <c r="AB22" i="5"/>
  <c r="AD22" i="5"/>
  <c r="AH22" i="5"/>
  <c r="AI22" i="5"/>
  <c r="AL22" i="5"/>
  <c r="AM22" i="5"/>
  <c r="AN22" i="5"/>
  <c r="L22" i="5" s="1"/>
  <c r="AO22" i="5"/>
  <c r="T22" i="5" s="1"/>
  <c r="AP22" i="5"/>
  <c r="Q22" i="5" s="1"/>
  <c r="AQ22" i="5"/>
  <c r="R22" i="5" s="1"/>
  <c r="AR22" i="5"/>
  <c r="S22" i="5" s="1"/>
  <c r="AS22" i="5"/>
  <c r="AT22" i="5"/>
  <c r="AX22" i="5"/>
  <c r="AA23" i="5"/>
  <c r="AB23" i="5"/>
  <c r="AD23" i="5"/>
  <c r="AH23" i="5"/>
  <c r="AI23" i="5"/>
  <c r="AL23" i="5"/>
  <c r="AM23" i="5"/>
  <c r="AN23" i="5"/>
  <c r="L23" i="5" s="1"/>
  <c r="AO23" i="5"/>
  <c r="T23" i="5" s="1"/>
  <c r="AP23" i="5"/>
  <c r="Q23" i="5" s="1"/>
  <c r="AQ23" i="5"/>
  <c r="R23" i="5" s="1"/>
  <c r="AR23" i="5"/>
  <c r="S23" i="5" s="1"/>
  <c r="AS23" i="5"/>
  <c r="AT23" i="5"/>
  <c r="AX23" i="5"/>
  <c r="AA24" i="5"/>
  <c r="AB24" i="5"/>
  <c r="AD24" i="5"/>
  <c r="AH24" i="5"/>
  <c r="AI24" i="5"/>
  <c r="AL24" i="5"/>
  <c r="AM24" i="5"/>
  <c r="AN24" i="5"/>
  <c r="AO24" i="5"/>
  <c r="T24" i="5" s="1"/>
  <c r="AP24" i="5"/>
  <c r="Q24" i="5" s="1"/>
  <c r="AQ24" i="5"/>
  <c r="R24" i="5" s="1"/>
  <c r="AR24" i="5"/>
  <c r="S24" i="5" s="1"/>
  <c r="AS24" i="5"/>
  <c r="AT24" i="5"/>
  <c r="AX24" i="5"/>
  <c r="AA25" i="5"/>
  <c r="AB25" i="5"/>
  <c r="AD25" i="5"/>
  <c r="AH25" i="5"/>
  <c r="AI25" i="5"/>
  <c r="AL25" i="5"/>
  <c r="AM25" i="5"/>
  <c r="AN25" i="5"/>
  <c r="AO25" i="5"/>
  <c r="T25" i="5" s="1"/>
  <c r="AP25" i="5"/>
  <c r="Q25" i="5" s="1"/>
  <c r="AQ25" i="5"/>
  <c r="R25" i="5" s="1"/>
  <c r="AR25" i="5"/>
  <c r="S25" i="5" s="1"/>
  <c r="AS25" i="5"/>
  <c r="AT25" i="5"/>
  <c r="AX25" i="5"/>
  <c r="AA26" i="5"/>
  <c r="AB26" i="5"/>
  <c r="AD26" i="5"/>
  <c r="AH26" i="5"/>
  <c r="AI26" i="5"/>
  <c r="AL26" i="5"/>
  <c r="AM26" i="5"/>
  <c r="AN26" i="5"/>
  <c r="AO26" i="5"/>
  <c r="T26" i="5" s="1"/>
  <c r="AP26" i="5"/>
  <c r="Q26" i="5" s="1"/>
  <c r="AQ26" i="5"/>
  <c r="R26" i="5" s="1"/>
  <c r="AR26" i="5"/>
  <c r="S26" i="5" s="1"/>
  <c r="AS26" i="5"/>
  <c r="AT26" i="5"/>
  <c r="AX26" i="5"/>
  <c r="AA27" i="5"/>
  <c r="AB27" i="5"/>
  <c r="AD27" i="5"/>
  <c r="AH27" i="5"/>
  <c r="AI27" i="5"/>
  <c r="AL27" i="5"/>
  <c r="AM27" i="5"/>
  <c r="AN27" i="5"/>
  <c r="AO27" i="5"/>
  <c r="T27" i="5" s="1"/>
  <c r="AP27" i="5"/>
  <c r="Q27" i="5" s="1"/>
  <c r="AQ27" i="5"/>
  <c r="R27" i="5" s="1"/>
  <c r="AR27" i="5"/>
  <c r="S27" i="5" s="1"/>
  <c r="AS27" i="5"/>
  <c r="AT27" i="5"/>
  <c r="AX27" i="5"/>
  <c r="AA28" i="5"/>
  <c r="AB28" i="5"/>
  <c r="AD28" i="5"/>
  <c r="AH28" i="5"/>
  <c r="AI28" i="5"/>
  <c r="AL28" i="5"/>
  <c r="AM28" i="5"/>
  <c r="AN28" i="5"/>
  <c r="AO28" i="5"/>
  <c r="T28" i="5" s="1"/>
  <c r="AP28" i="5"/>
  <c r="Q28" i="5" s="1"/>
  <c r="AQ28" i="5"/>
  <c r="R28" i="5" s="1"/>
  <c r="AR28" i="5"/>
  <c r="S28" i="5" s="1"/>
  <c r="AS28" i="5"/>
  <c r="AT28" i="5"/>
  <c r="AX28" i="5"/>
  <c r="AJ29" i="5"/>
  <c r="AA29" i="5"/>
  <c r="AB29" i="5"/>
  <c r="AD29" i="5"/>
  <c r="AH29" i="5"/>
  <c r="AI29" i="5"/>
  <c r="AL29" i="5"/>
  <c r="AM29" i="5"/>
  <c r="AN29" i="5"/>
  <c r="L29" i="5" s="1"/>
  <c r="AO29" i="5"/>
  <c r="T29" i="5" s="1"/>
  <c r="AP29" i="5"/>
  <c r="Q29" i="5" s="1"/>
  <c r="AQ29" i="5"/>
  <c r="R29" i="5" s="1"/>
  <c r="AR29" i="5"/>
  <c r="S29" i="5" s="1"/>
  <c r="AS29" i="5"/>
  <c r="AT29" i="5"/>
  <c r="AX29" i="5"/>
  <c r="AA30" i="5"/>
  <c r="AB30" i="5"/>
  <c r="AD30" i="5"/>
  <c r="AH30" i="5"/>
  <c r="AI30" i="5"/>
  <c r="AJ30" i="5"/>
  <c r="AL30" i="5"/>
  <c r="AM30" i="5"/>
  <c r="AN30" i="5"/>
  <c r="L30" i="5" s="1"/>
  <c r="AO30" i="5"/>
  <c r="T30" i="5" s="1"/>
  <c r="AP30" i="5"/>
  <c r="Q30" i="5" s="1"/>
  <c r="AQ30" i="5"/>
  <c r="R30" i="5" s="1"/>
  <c r="AR30" i="5"/>
  <c r="S30" i="5" s="1"/>
  <c r="AS30" i="5"/>
  <c r="AT30" i="5"/>
  <c r="AX30" i="5"/>
  <c r="AA31" i="5"/>
  <c r="AB31" i="5"/>
  <c r="AD31" i="5"/>
  <c r="AH31" i="5"/>
  <c r="AI31" i="5"/>
  <c r="AL31" i="5"/>
  <c r="AM31" i="5"/>
  <c r="AN31" i="5"/>
  <c r="AO31" i="5"/>
  <c r="T31" i="5" s="1"/>
  <c r="AP31" i="5"/>
  <c r="Q31" i="5" s="1"/>
  <c r="AQ31" i="5"/>
  <c r="R31" i="5" s="1"/>
  <c r="AR31" i="5"/>
  <c r="S31" i="5" s="1"/>
  <c r="AS31" i="5"/>
  <c r="AT31" i="5"/>
  <c r="AX31" i="5"/>
  <c r="AA32" i="5"/>
  <c r="AB32" i="5"/>
  <c r="AD32" i="5"/>
  <c r="AH32" i="5"/>
  <c r="AI32" i="5"/>
  <c r="AJ32" i="5"/>
  <c r="AL32" i="5"/>
  <c r="AM32" i="5"/>
  <c r="AN32" i="5"/>
  <c r="AO32" i="5"/>
  <c r="T32" i="5" s="1"/>
  <c r="AP32" i="5"/>
  <c r="Q32" i="5" s="1"/>
  <c r="AQ32" i="5"/>
  <c r="R32" i="5" s="1"/>
  <c r="AR32" i="5"/>
  <c r="S32" i="5" s="1"/>
  <c r="AS32" i="5"/>
  <c r="AT32" i="5"/>
  <c r="AX32" i="5"/>
  <c r="AA33" i="5"/>
  <c r="AB33" i="5"/>
  <c r="AD33" i="5"/>
  <c r="AH33" i="5"/>
  <c r="AI33" i="5"/>
  <c r="AL33" i="5"/>
  <c r="AM33" i="5"/>
  <c r="AN33" i="5"/>
  <c r="AO33" i="5"/>
  <c r="T33" i="5" s="1"/>
  <c r="AP33" i="5"/>
  <c r="Q33" i="5" s="1"/>
  <c r="AQ33" i="5"/>
  <c r="R33" i="5" s="1"/>
  <c r="AR33" i="5"/>
  <c r="S33" i="5" s="1"/>
  <c r="AS33" i="5"/>
  <c r="AT33" i="5"/>
  <c r="AX33" i="5"/>
  <c r="AA34" i="5"/>
  <c r="AB34" i="5"/>
  <c r="AD34" i="5"/>
  <c r="AH34" i="5"/>
  <c r="AI34" i="5"/>
  <c r="AL34" i="5"/>
  <c r="AM34" i="5"/>
  <c r="AN34" i="5"/>
  <c r="AO34" i="5"/>
  <c r="T34" i="5" s="1"/>
  <c r="AP34" i="5"/>
  <c r="Q34" i="5" s="1"/>
  <c r="AQ34" i="5"/>
  <c r="R34" i="5" s="1"/>
  <c r="AR34" i="5"/>
  <c r="S34" i="5" s="1"/>
  <c r="AS34" i="5"/>
  <c r="AT34" i="5"/>
  <c r="AX34" i="5"/>
  <c r="AA35" i="5"/>
  <c r="AB35" i="5"/>
  <c r="AD35" i="5"/>
  <c r="AH35" i="5"/>
  <c r="AI35" i="5"/>
  <c r="AL35" i="5"/>
  <c r="AM35" i="5"/>
  <c r="AN35" i="5"/>
  <c r="AO35" i="5"/>
  <c r="T35" i="5" s="1"/>
  <c r="AP35" i="5"/>
  <c r="Q35" i="5" s="1"/>
  <c r="AQ35" i="5"/>
  <c r="R35" i="5" s="1"/>
  <c r="AR35" i="5"/>
  <c r="S35" i="5" s="1"/>
  <c r="AS35" i="5"/>
  <c r="AT35" i="5"/>
  <c r="AX35" i="5"/>
  <c r="AA36" i="5"/>
  <c r="AB36" i="5"/>
  <c r="AD36" i="5"/>
  <c r="AH36" i="5"/>
  <c r="AI36" i="5"/>
  <c r="AL36" i="5"/>
  <c r="AM36" i="5"/>
  <c r="AN36" i="5"/>
  <c r="L36" i="5" s="1"/>
  <c r="AO36" i="5"/>
  <c r="T36" i="5" s="1"/>
  <c r="AP36" i="5"/>
  <c r="Q36" i="5" s="1"/>
  <c r="AQ36" i="5"/>
  <c r="R36" i="5" s="1"/>
  <c r="AR36" i="5"/>
  <c r="S36" i="5" s="1"/>
  <c r="AS36" i="5"/>
  <c r="AT36" i="5"/>
  <c r="AX36" i="5"/>
  <c r="AA37" i="5"/>
  <c r="AB37" i="5"/>
  <c r="AD37" i="5"/>
  <c r="AH37" i="5"/>
  <c r="AI37" i="5"/>
  <c r="AL37" i="5"/>
  <c r="AM37" i="5"/>
  <c r="AN37" i="5"/>
  <c r="AO37" i="5"/>
  <c r="T37" i="5" s="1"/>
  <c r="AP37" i="5"/>
  <c r="Q37" i="5" s="1"/>
  <c r="AQ37" i="5"/>
  <c r="R37" i="5" s="1"/>
  <c r="AR37" i="5"/>
  <c r="S37" i="5" s="1"/>
  <c r="AS37" i="5"/>
  <c r="AT37" i="5"/>
  <c r="AX37" i="5"/>
  <c r="AA40" i="5"/>
  <c r="AH42" i="5"/>
  <c r="M51" i="5"/>
  <c r="U51" i="5" s="1"/>
  <c r="AE54" i="5"/>
  <c r="AF54" i="5" s="1"/>
  <c r="AH54" i="5" s="1"/>
  <c r="M52" i="5" s="1"/>
  <c r="AE55" i="5"/>
  <c r="AF55" i="5" s="1"/>
  <c r="AH55" i="5" s="1"/>
  <c r="M53" i="5" s="1"/>
  <c r="AF2" i="7"/>
  <c r="M4" i="7"/>
  <c r="AA7" i="7"/>
  <c r="AB7" i="7"/>
  <c r="AD7" i="7"/>
  <c r="AH7" i="7"/>
  <c r="AI7" i="7"/>
  <c r="AL7" i="7"/>
  <c r="AM7" i="7"/>
  <c r="AN7" i="7"/>
  <c r="AO7" i="7"/>
  <c r="T7" i="7" s="1"/>
  <c r="AP7" i="7"/>
  <c r="Q7" i="7" s="1"/>
  <c r="AQ7" i="7"/>
  <c r="R7" i="7" s="1"/>
  <c r="AR7" i="7"/>
  <c r="S7" i="7" s="1"/>
  <c r="AS7" i="7"/>
  <c r="AT7" i="7"/>
  <c r="AX7" i="7"/>
  <c r="AA8" i="7"/>
  <c r="AB8" i="7"/>
  <c r="AD8" i="7"/>
  <c r="AH8" i="7"/>
  <c r="AI8" i="7"/>
  <c r="AL8" i="7"/>
  <c r="AM8" i="7"/>
  <c r="AN8" i="7"/>
  <c r="AO8" i="7"/>
  <c r="T8" i="7" s="1"/>
  <c r="AP8" i="7"/>
  <c r="Q8" i="7" s="1"/>
  <c r="AQ8" i="7"/>
  <c r="R8" i="7" s="1"/>
  <c r="AR8" i="7"/>
  <c r="S8" i="7" s="1"/>
  <c r="AS8" i="7"/>
  <c r="AT8" i="7"/>
  <c r="AX8" i="7"/>
  <c r="AA9" i="7"/>
  <c r="AB9" i="7"/>
  <c r="AD9" i="7"/>
  <c r="AH9" i="7"/>
  <c r="AI9" i="7"/>
  <c r="AJ9" i="7"/>
  <c r="AL9" i="7"/>
  <c r="AM9" i="7"/>
  <c r="AN9" i="7"/>
  <c r="AO9" i="7"/>
  <c r="T9" i="7" s="1"/>
  <c r="AP9" i="7"/>
  <c r="Q9" i="7" s="1"/>
  <c r="AQ9" i="7"/>
  <c r="R9" i="7" s="1"/>
  <c r="AR9" i="7"/>
  <c r="S9" i="7" s="1"/>
  <c r="AS9" i="7"/>
  <c r="AT9" i="7"/>
  <c r="AX9" i="7"/>
  <c r="AA10" i="7"/>
  <c r="AB10" i="7"/>
  <c r="AD10" i="7"/>
  <c r="AH10" i="7"/>
  <c r="AI10" i="7"/>
  <c r="AL10" i="7"/>
  <c r="AM10" i="7"/>
  <c r="AN10" i="7"/>
  <c r="L10" i="7" s="1"/>
  <c r="AO10" i="7"/>
  <c r="T10" i="7" s="1"/>
  <c r="AP10" i="7"/>
  <c r="Q10" i="7" s="1"/>
  <c r="AQ10" i="7"/>
  <c r="R10" i="7" s="1"/>
  <c r="AR10" i="7"/>
  <c r="S10" i="7" s="1"/>
  <c r="AS10" i="7"/>
  <c r="AT10" i="7"/>
  <c r="AX10" i="7"/>
  <c r="AA11" i="7"/>
  <c r="AB11" i="7"/>
  <c r="AD11" i="7"/>
  <c r="AH11" i="7"/>
  <c r="AI11" i="7"/>
  <c r="AL11" i="7"/>
  <c r="AM11" i="7"/>
  <c r="AN11" i="7"/>
  <c r="AO11" i="7"/>
  <c r="T11" i="7" s="1"/>
  <c r="AP11" i="7"/>
  <c r="Q11" i="7" s="1"/>
  <c r="AQ11" i="7"/>
  <c r="R11" i="7" s="1"/>
  <c r="AR11" i="7"/>
  <c r="S11" i="7" s="1"/>
  <c r="AS11" i="7"/>
  <c r="AT11" i="7"/>
  <c r="AX11" i="7"/>
  <c r="AA12" i="7"/>
  <c r="AB12" i="7"/>
  <c r="AD12" i="7"/>
  <c r="AH12" i="7"/>
  <c r="AI12" i="7"/>
  <c r="AL12" i="7"/>
  <c r="AM12" i="7"/>
  <c r="AN12" i="7"/>
  <c r="AO12" i="7"/>
  <c r="T12" i="7" s="1"/>
  <c r="AP12" i="7"/>
  <c r="Q12" i="7" s="1"/>
  <c r="AQ12" i="7"/>
  <c r="R12" i="7" s="1"/>
  <c r="AR12" i="7"/>
  <c r="S12" i="7" s="1"/>
  <c r="AS12" i="7"/>
  <c r="AT12" i="7"/>
  <c r="AX12" i="7"/>
  <c r="AA13" i="7"/>
  <c r="AB13" i="7"/>
  <c r="AD13" i="7"/>
  <c r="AH13" i="7"/>
  <c r="AI13" i="7"/>
  <c r="AL13" i="7"/>
  <c r="AM13" i="7"/>
  <c r="AN13" i="7"/>
  <c r="AO13" i="7"/>
  <c r="T13" i="7" s="1"/>
  <c r="AP13" i="7"/>
  <c r="Q13" i="7" s="1"/>
  <c r="AQ13" i="7"/>
  <c r="R13" i="7" s="1"/>
  <c r="AR13" i="7"/>
  <c r="S13" i="7" s="1"/>
  <c r="AS13" i="7"/>
  <c r="AT13" i="7"/>
  <c r="AX13" i="7"/>
  <c r="AA14" i="7"/>
  <c r="AB14" i="7"/>
  <c r="AD14" i="7"/>
  <c r="AH14" i="7"/>
  <c r="AI14" i="7"/>
  <c r="AL14" i="7"/>
  <c r="AM14" i="7"/>
  <c r="AN14" i="7"/>
  <c r="AO14" i="7"/>
  <c r="T14" i="7" s="1"/>
  <c r="AP14" i="7"/>
  <c r="Q14" i="7" s="1"/>
  <c r="AQ14" i="7"/>
  <c r="R14" i="7" s="1"/>
  <c r="AR14" i="7"/>
  <c r="S14" i="7" s="1"/>
  <c r="AS14" i="7"/>
  <c r="AT14" i="7"/>
  <c r="AX14" i="7"/>
  <c r="AA15" i="7"/>
  <c r="AB15" i="7"/>
  <c r="AD15" i="7"/>
  <c r="AH15" i="7"/>
  <c r="AI15" i="7"/>
  <c r="AL15" i="7"/>
  <c r="AM15" i="7"/>
  <c r="AN15" i="7"/>
  <c r="AO15" i="7"/>
  <c r="T15" i="7" s="1"/>
  <c r="AP15" i="7"/>
  <c r="Q15" i="7" s="1"/>
  <c r="AQ15" i="7"/>
  <c r="R15" i="7" s="1"/>
  <c r="AR15" i="7"/>
  <c r="S15" i="7" s="1"/>
  <c r="AS15" i="7"/>
  <c r="AT15" i="7"/>
  <c r="AX15" i="7"/>
  <c r="AA16" i="7"/>
  <c r="AB16" i="7"/>
  <c r="AD16" i="7"/>
  <c r="AH16" i="7"/>
  <c r="AI16" i="7"/>
  <c r="AL16" i="7"/>
  <c r="AM16" i="7"/>
  <c r="AN16" i="7"/>
  <c r="AO16" i="7"/>
  <c r="T16" i="7" s="1"/>
  <c r="AP16" i="7"/>
  <c r="Q16" i="7" s="1"/>
  <c r="AQ16" i="7"/>
  <c r="R16" i="7" s="1"/>
  <c r="AR16" i="7"/>
  <c r="S16" i="7" s="1"/>
  <c r="AS16" i="7"/>
  <c r="AT16" i="7"/>
  <c r="AX16" i="7"/>
  <c r="AA17" i="7"/>
  <c r="AB17" i="7"/>
  <c r="AD17" i="7"/>
  <c r="AH17" i="7"/>
  <c r="AI17" i="7"/>
  <c r="AJ17" i="7"/>
  <c r="AL17" i="7"/>
  <c r="AM17" i="7"/>
  <c r="AN17" i="7"/>
  <c r="L17" i="7" s="1"/>
  <c r="AO17" i="7"/>
  <c r="T17" i="7" s="1"/>
  <c r="AP17" i="7"/>
  <c r="Q17" i="7" s="1"/>
  <c r="AQ17" i="7"/>
  <c r="R17" i="7" s="1"/>
  <c r="AR17" i="7"/>
  <c r="S17" i="7" s="1"/>
  <c r="AS17" i="7"/>
  <c r="AT17" i="7"/>
  <c r="AX17" i="7"/>
  <c r="AJ18" i="7"/>
  <c r="AA18" i="7"/>
  <c r="AB18" i="7"/>
  <c r="AD18" i="7"/>
  <c r="AH18" i="7"/>
  <c r="AI18" i="7"/>
  <c r="AL18" i="7"/>
  <c r="AM18" i="7"/>
  <c r="AN18" i="7"/>
  <c r="L18" i="7" s="1"/>
  <c r="AO18" i="7"/>
  <c r="T18" i="7" s="1"/>
  <c r="AP18" i="7"/>
  <c r="Q18" i="7" s="1"/>
  <c r="AQ18" i="7"/>
  <c r="R18" i="7" s="1"/>
  <c r="AR18" i="7"/>
  <c r="S18" i="7" s="1"/>
  <c r="AS18" i="7"/>
  <c r="AT18" i="7"/>
  <c r="AX18" i="7"/>
  <c r="AA19" i="7"/>
  <c r="AB19" i="7"/>
  <c r="AD19" i="7"/>
  <c r="AH19" i="7"/>
  <c r="AI19" i="7"/>
  <c r="AL19" i="7"/>
  <c r="AM19" i="7"/>
  <c r="AN19" i="7"/>
  <c r="AO19" i="7"/>
  <c r="T19" i="7" s="1"/>
  <c r="AP19" i="7"/>
  <c r="Q19" i="7" s="1"/>
  <c r="AQ19" i="7"/>
  <c r="R19" i="7" s="1"/>
  <c r="AR19" i="7"/>
  <c r="S19" i="7" s="1"/>
  <c r="AS19" i="7"/>
  <c r="AT19" i="7"/>
  <c r="AX19" i="7"/>
  <c r="AA20" i="7"/>
  <c r="AB20" i="7"/>
  <c r="AD20" i="7"/>
  <c r="AH20" i="7"/>
  <c r="AI20" i="7"/>
  <c r="AL20" i="7"/>
  <c r="AM20" i="7"/>
  <c r="AN20" i="7"/>
  <c r="AO20" i="7"/>
  <c r="T20" i="7" s="1"/>
  <c r="AP20" i="7"/>
  <c r="Q20" i="7" s="1"/>
  <c r="AQ20" i="7"/>
  <c r="R20" i="7" s="1"/>
  <c r="AR20" i="7"/>
  <c r="S20" i="7" s="1"/>
  <c r="AS20" i="7"/>
  <c r="AT20" i="7"/>
  <c r="AX20" i="7"/>
  <c r="AA21" i="7"/>
  <c r="AB21" i="7"/>
  <c r="AD21" i="7"/>
  <c r="AH21" i="7"/>
  <c r="AI21" i="7"/>
  <c r="AL21" i="7"/>
  <c r="AM21" i="7"/>
  <c r="AN21" i="7"/>
  <c r="AO21" i="7"/>
  <c r="T21" i="7" s="1"/>
  <c r="AP21" i="7"/>
  <c r="Q21" i="7" s="1"/>
  <c r="AQ21" i="7"/>
  <c r="R21" i="7" s="1"/>
  <c r="AR21" i="7"/>
  <c r="S21" i="7" s="1"/>
  <c r="AS21" i="7"/>
  <c r="AT21" i="7"/>
  <c r="AX21" i="7"/>
  <c r="AA22" i="7"/>
  <c r="AB22" i="7"/>
  <c r="AD22" i="7"/>
  <c r="AH22" i="7"/>
  <c r="AI22" i="7"/>
  <c r="AL22" i="7"/>
  <c r="AM22" i="7"/>
  <c r="AN22" i="7"/>
  <c r="AO22" i="7"/>
  <c r="T22" i="7" s="1"/>
  <c r="AP22" i="7"/>
  <c r="Q22" i="7" s="1"/>
  <c r="AQ22" i="7"/>
  <c r="R22" i="7" s="1"/>
  <c r="AR22" i="7"/>
  <c r="S22" i="7" s="1"/>
  <c r="AS22" i="7"/>
  <c r="AT22" i="7"/>
  <c r="AX22" i="7"/>
  <c r="AA23" i="7"/>
  <c r="AB23" i="7"/>
  <c r="AD23" i="7"/>
  <c r="AH23" i="7"/>
  <c r="AI23" i="7"/>
  <c r="AL23" i="7"/>
  <c r="AM23" i="7"/>
  <c r="AN23" i="7"/>
  <c r="AO23" i="7"/>
  <c r="T23" i="7" s="1"/>
  <c r="AP23" i="7"/>
  <c r="Q23" i="7" s="1"/>
  <c r="AQ23" i="7"/>
  <c r="R23" i="7" s="1"/>
  <c r="AR23" i="7"/>
  <c r="S23" i="7" s="1"/>
  <c r="AS23" i="7"/>
  <c r="AT23" i="7"/>
  <c r="AX23" i="7"/>
  <c r="AA24" i="7"/>
  <c r="AB24" i="7"/>
  <c r="AD24" i="7"/>
  <c r="AH24" i="7"/>
  <c r="AI24" i="7"/>
  <c r="AL24" i="7"/>
  <c r="AM24" i="7"/>
  <c r="AN24" i="7"/>
  <c r="L24" i="7" s="1"/>
  <c r="AO24" i="7"/>
  <c r="T24" i="7" s="1"/>
  <c r="AP24" i="7"/>
  <c r="Q24" i="7" s="1"/>
  <c r="AQ24" i="7"/>
  <c r="R24" i="7" s="1"/>
  <c r="AR24" i="7"/>
  <c r="S24" i="7" s="1"/>
  <c r="AS24" i="7"/>
  <c r="AT24" i="7"/>
  <c r="AX24" i="7"/>
  <c r="AA25" i="7"/>
  <c r="AB25" i="7"/>
  <c r="AD25" i="7"/>
  <c r="AH25" i="7"/>
  <c r="AI25" i="7"/>
  <c r="AJ25" i="7"/>
  <c r="AL25" i="7"/>
  <c r="AM25" i="7"/>
  <c r="AN25" i="7"/>
  <c r="L25" i="7" s="1"/>
  <c r="AO25" i="7"/>
  <c r="T25" i="7" s="1"/>
  <c r="AP25" i="7"/>
  <c r="Q25" i="7" s="1"/>
  <c r="AQ25" i="7"/>
  <c r="R25" i="7" s="1"/>
  <c r="AR25" i="7"/>
  <c r="S25" i="7" s="1"/>
  <c r="AS25" i="7"/>
  <c r="AT25" i="7"/>
  <c r="AX25" i="7"/>
  <c r="AA26" i="7"/>
  <c r="AB26" i="7"/>
  <c r="AD26" i="7"/>
  <c r="AH26" i="7"/>
  <c r="AI26" i="7"/>
  <c r="AL26" i="7"/>
  <c r="AM26" i="7"/>
  <c r="AN26" i="7"/>
  <c r="L26" i="7" s="1"/>
  <c r="AO26" i="7"/>
  <c r="T26" i="7" s="1"/>
  <c r="AP26" i="7"/>
  <c r="Q26" i="7" s="1"/>
  <c r="AQ26" i="7"/>
  <c r="R26" i="7" s="1"/>
  <c r="AR26" i="7"/>
  <c r="S26" i="7" s="1"/>
  <c r="AS26" i="7"/>
  <c r="AT26" i="7"/>
  <c r="AX26" i="7"/>
  <c r="AA27" i="7"/>
  <c r="AB27" i="7"/>
  <c r="AD27" i="7"/>
  <c r="AH27" i="7"/>
  <c r="AI27" i="7"/>
  <c r="AL27" i="7"/>
  <c r="AM27" i="7"/>
  <c r="AN27" i="7"/>
  <c r="AO27" i="7"/>
  <c r="T27" i="7" s="1"/>
  <c r="AP27" i="7"/>
  <c r="Q27" i="7" s="1"/>
  <c r="AQ27" i="7"/>
  <c r="R27" i="7" s="1"/>
  <c r="AR27" i="7"/>
  <c r="S27" i="7" s="1"/>
  <c r="AS27" i="7"/>
  <c r="AT27" i="7"/>
  <c r="AX27" i="7"/>
  <c r="AA28" i="7"/>
  <c r="AB28" i="7"/>
  <c r="AD28" i="7"/>
  <c r="AH28" i="7"/>
  <c r="AI28" i="7"/>
  <c r="AL28" i="7"/>
  <c r="AM28" i="7"/>
  <c r="AN28" i="7"/>
  <c r="AO28" i="7"/>
  <c r="T28" i="7" s="1"/>
  <c r="AP28" i="7"/>
  <c r="Q28" i="7" s="1"/>
  <c r="AQ28" i="7"/>
  <c r="R28" i="7" s="1"/>
  <c r="AR28" i="7"/>
  <c r="S28" i="7" s="1"/>
  <c r="AS28" i="7"/>
  <c r="AT28" i="7"/>
  <c r="AX28" i="7"/>
  <c r="AA29" i="7"/>
  <c r="AB29" i="7"/>
  <c r="AD29" i="7"/>
  <c r="AH29" i="7"/>
  <c r="AI29" i="7"/>
  <c r="AL29" i="7"/>
  <c r="AM29" i="7"/>
  <c r="AN29" i="7"/>
  <c r="AO29" i="7"/>
  <c r="T29" i="7" s="1"/>
  <c r="AP29" i="7"/>
  <c r="Q29" i="7" s="1"/>
  <c r="AQ29" i="7"/>
  <c r="R29" i="7" s="1"/>
  <c r="AR29" i="7"/>
  <c r="S29" i="7" s="1"/>
  <c r="AS29" i="7"/>
  <c r="AT29" i="7"/>
  <c r="AX29" i="7"/>
  <c r="AA30" i="7"/>
  <c r="AB30" i="7"/>
  <c r="AD30" i="7"/>
  <c r="AH30" i="7"/>
  <c r="AI30" i="7"/>
  <c r="AL30" i="7"/>
  <c r="AM30" i="7"/>
  <c r="AN30" i="7"/>
  <c r="AO30" i="7"/>
  <c r="T30" i="7" s="1"/>
  <c r="AP30" i="7"/>
  <c r="Q30" i="7" s="1"/>
  <c r="AQ30" i="7"/>
  <c r="R30" i="7" s="1"/>
  <c r="AR30" i="7"/>
  <c r="S30" i="7" s="1"/>
  <c r="AS30" i="7"/>
  <c r="AT30" i="7"/>
  <c r="AX30" i="7"/>
  <c r="AA31" i="7"/>
  <c r="AB31" i="7"/>
  <c r="AD31" i="7"/>
  <c r="AH31" i="7"/>
  <c r="AI31" i="7"/>
  <c r="AL31" i="7"/>
  <c r="AM31" i="7"/>
  <c r="AN31" i="7"/>
  <c r="AO31" i="7"/>
  <c r="T31" i="7" s="1"/>
  <c r="AP31" i="7"/>
  <c r="Q31" i="7" s="1"/>
  <c r="AQ31" i="7"/>
  <c r="R31" i="7" s="1"/>
  <c r="AR31" i="7"/>
  <c r="S31" i="7" s="1"/>
  <c r="AS31" i="7"/>
  <c r="AT31" i="7"/>
  <c r="AX31" i="7"/>
  <c r="AA32" i="7"/>
  <c r="AB32" i="7"/>
  <c r="AD32" i="7"/>
  <c r="AH32" i="7"/>
  <c r="AI32" i="7"/>
  <c r="AL32" i="7"/>
  <c r="AM32" i="7"/>
  <c r="AN32" i="7"/>
  <c r="AO32" i="7"/>
  <c r="T32" i="7" s="1"/>
  <c r="AP32" i="7"/>
  <c r="Q32" i="7" s="1"/>
  <c r="AQ32" i="7"/>
  <c r="R32" i="7" s="1"/>
  <c r="AR32" i="7"/>
  <c r="S32" i="7" s="1"/>
  <c r="AS32" i="7"/>
  <c r="AT32" i="7"/>
  <c r="AX32" i="7"/>
  <c r="AA33" i="7"/>
  <c r="AB33" i="7"/>
  <c r="AD33" i="7"/>
  <c r="AH33" i="7"/>
  <c r="AI33" i="7"/>
  <c r="AL33" i="7"/>
  <c r="AM33" i="7"/>
  <c r="AN33" i="7"/>
  <c r="L33" i="7" s="1"/>
  <c r="AO33" i="7"/>
  <c r="T33" i="7" s="1"/>
  <c r="AP33" i="7"/>
  <c r="Q33" i="7" s="1"/>
  <c r="AQ33" i="7"/>
  <c r="R33" i="7" s="1"/>
  <c r="AR33" i="7"/>
  <c r="S33" i="7" s="1"/>
  <c r="AS33" i="7"/>
  <c r="AT33" i="7"/>
  <c r="AX33" i="7"/>
  <c r="AA34" i="7"/>
  <c r="AB34" i="7"/>
  <c r="AD34" i="7"/>
  <c r="AH34" i="7"/>
  <c r="AI34" i="7"/>
  <c r="AL34" i="7"/>
  <c r="AM34" i="7"/>
  <c r="AN34" i="7"/>
  <c r="L34" i="7" s="1"/>
  <c r="AO34" i="7"/>
  <c r="T34" i="7" s="1"/>
  <c r="AP34" i="7"/>
  <c r="Q34" i="7" s="1"/>
  <c r="AQ34" i="7"/>
  <c r="R34" i="7" s="1"/>
  <c r="AR34" i="7"/>
  <c r="S34" i="7" s="1"/>
  <c r="AS34" i="7"/>
  <c r="AT34" i="7"/>
  <c r="AX34" i="7"/>
  <c r="AA35" i="7"/>
  <c r="AB35" i="7"/>
  <c r="AD35" i="7"/>
  <c r="AH35" i="7"/>
  <c r="AI35" i="7"/>
  <c r="AL35" i="7"/>
  <c r="AM35" i="7"/>
  <c r="AN35" i="7"/>
  <c r="AO35" i="7"/>
  <c r="T35" i="7" s="1"/>
  <c r="AP35" i="7"/>
  <c r="Q35" i="7" s="1"/>
  <c r="AQ35" i="7"/>
  <c r="R35" i="7" s="1"/>
  <c r="AR35" i="7"/>
  <c r="S35" i="7" s="1"/>
  <c r="AS35" i="7"/>
  <c r="AT35" i="7"/>
  <c r="AX35" i="7"/>
  <c r="AA36" i="7"/>
  <c r="AB36" i="7"/>
  <c r="AD36" i="7"/>
  <c r="AH36" i="7"/>
  <c r="AI36" i="7"/>
  <c r="AL36" i="7"/>
  <c r="AM36" i="7"/>
  <c r="AN36" i="7"/>
  <c r="AO36" i="7"/>
  <c r="T36" i="7" s="1"/>
  <c r="AP36" i="7"/>
  <c r="Q36" i="7" s="1"/>
  <c r="AQ36" i="7"/>
  <c r="R36" i="7" s="1"/>
  <c r="AR36" i="7"/>
  <c r="S36" i="7" s="1"/>
  <c r="AS36" i="7"/>
  <c r="AT36" i="7"/>
  <c r="AX36" i="7"/>
  <c r="AA37" i="7"/>
  <c r="AB37" i="7"/>
  <c r="AD37" i="7"/>
  <c r="AH37" i="7"/>
  <c r="AI37" i="7"/>
  <c r="AL37" i="7"/>
  <c r="AM37" i="7"/>
  <c r="AN37" i="7"/>
  <c r="AO37" i="7"/>
  <c r="T37" i="7" s="1"/>
  <c r="AP37" i="7"/>
  <c r="Q37" i="7" s="1"/>
  <c r="AQ37" i="7"/>
  <c r="R37" i="7" s="1"/>
  <c r="AR37" i="7"/>
  <c r="S37" i="7" s="1"/>
  <c r="AS37" i="7"/>
  <c r="AT37" i="7"/>
  <c r="AX37" i="7"/>
  <c r="AA40" i="7"/>
  <c r="AH42" i="7"/>
  <c r="U51" i="7"/>
  <c r="AE54" i="7"/>
  <c r="AF54" i="7" s="1"/>
  <c r="AH54" i="7" s="1"/>
  <c r="M52" i="7" s="1"/>
  <c r="AE55" i="7"/>
  <c r="AF55" i="7" s="1"/>
  <c r="AH55" i="7" s="1"/>
  <c r="M53" i="7" s="1"/>
  <c r="AF2" i="13"/>
  <c r="M4" i="13"/>
  <c r="U4" i="13"/>
  <c r="U4" i="14" s="1"/>
  <c r="AA7" i="13"/>
  <c r="AB7" i="13"/>
  <c r="AD7" i="13"/>
  <c r="AH7" i="13"/>
  <c r="AI7" i="13"/>
  <c r="AL7" i="13"/>
  <c r="AM7" i="13"/>
  <c r="AN7" i="13"/>
  <c r="AO7" i="13"/>
  <c r="T7" i="13" s="1"/>
  <c r="AP7" i="13"/>
  <c r="Q7" i="13" s="1"/>
  <c r="AQ7" i="13"/>
  <c r="R7" i="13" s="1"/>
  <c r="AR7" i="13"/>
  <c r="S7" i="13" s="1"/>
  <c r="AS7" i="13"/>
  <c r="AT7" i="13"/>
  <c r="AX7" i="13"/>
  <c r="AA8" i="13"/>
  <c r="AB8" i="13"/>
  <c r="AD8" i="13"/>
  <c r="AH8" i="13"/>
  <c r="AI8" i="13"/>
  <c r="AL8" i="13"/>
  <c r="AM8" i="13"/>
  <c r="AN8" i="13"/>
  <c r="L8" i="13" s="1"/>
  <c r="AO8" i="13"/>
  <c r="T8" i="13" s="1"/>
  <c r="AP8" i="13"/>
  <c r="Q8" i="13" s="1"/>
  <c r="AQ8" i="13"/>
  <c r="R8" i="13" s="1"/>
  <c r="AR8" i="13"/>
  <c r="S8" i="13" s="1"/>
  <c r="AS8" i="13"/>
  <c r="AT8" i="13"/>
  <c r="AX8" i="13"/>
  <c r="AA9" i="13"/>
  <c r="AB9" i="13"/>
  <c r="AD9" i="13"/>
  <c r="AH9" i="13"/>
  <c r="AI9" i="13"/>
  <c r="AL9" i="13"/>
  <c r="AM9" i="13"/>
  <c r="AN9" i="13"/>
  <c r="AO9" i="13"/>
  <c r="T9" i="13" s="1"/>
  <c r="AP9" i="13"/>
  <c r="Q9" i="13" s="1"/>
  <c r="AQ9" i="13"/>
  <c r="R9" i="13" s="1"/>
  <c r="AR9" i="13"/>
  <c r="S9" i="13" s="1"/>
  <c r="AS9" i="13"/>
  <c r="AT9" i="13"/>
  <c r="AX9" i="13"/>
  <c r="AA10" i="13"/>
  <c r="AB10" i="13"/>
  <c r="AD10" i="13"/>
  <c r="AH10" i="13"/>
  <c r="AI10" i="13"/>
  <c r="AL10" i="13"/>
  <c r="AM10" i="13"/>
  <c r="AN10" i="13"/>
  <c r="AO10" i="13"/>
  <c r="T10" i="13" s="1"/>
  <c r="AP10" i="13"/>
  <c r="Q10" i="13" s="1"/>
  <c r="AQ10" i="13"/>
  <c r="R10" i="13" s="1"/>
  <c r="AR10" i="13"/>
  <c r="S10" i="13" s="1"/>
  <c r="AS10" i="13"/>
  <c r="AT10" i="13"/>
  <c r="AX10" i="13"/>
  <c r="AA11" i="13"/>
  <c r="AB11" i="13"/>
  <c r="AD11" i="13"/>
  <c r="AH11" i="13"/>
  <c r="AI11" i="13"/>
  <c r="AL11" i="13"/>
  <c r="AM11" i="13"/>
  <c r="AN11" i="13"/>
  <c r="AO11" i="13"/>
  <c r="T11" i="13" s="1"/>
  <c r="AP11" i="13"/>
  <c r="Q11" i="13" s="1"/>
  <c r="AQ11" i="13"/>
  <c r="R11" i="13" s="1"/>
  <c r="AR11" i="13"/>
  <c r="S11" i="13" s="1"/>
  <c r="AS11" i="13"/>
  <c r="AT11" i="13"/>
  <c r="AX11" i="13"/>
  <c r="AA12" i="13"/>
  <c r="AB12" i="13"/>
  <c r="AD12" i="13"/>
  <c r="AH12" i="13"/>
  <c r="AI12" i="13"/>
  <c r="AL12" i="13"/>
  <c r="AM12" i="13"/>
  <c r="AN12" i="13"/>
  <c r="AO12" i="13"/>
  <c r="T12" i="13" s="1"/>
  <c r="AP12" i="13"/>
  <c r="Q12" i="13" s="1"/>
  <c r="AQ12" i="13"/>
  <c r="R12" i="13" s="1"/>
  <c r="AR12" i="13"/>
  <c r="S12" i="13" s="1"/>
  <c r="AS12" i="13"/>
  <c r="AT12" i="13"/>
  <c r="AX12" i="13"/>
  <c r="AA13" i="13"/>
  <c r="AB13" i="13"/>
  <c r="AD13" i="13"/>
  <c r="AH13" i="13"/>
  <c r="AI13" i="13"/>
  <c r="AL13" i="13"/>
  <c r="AM13" i="13"/>
  <c r="AN13" i="13"/>
  <c r="AO13" i="13"/>
  <c r="T13" i="13" s="1"/>
  <c r="AP13" i="13"/>
  <c r="Q13" i="13" s="1"/>
  <c r="AQ13" i="13"/>
  <c r="R13" i="13" s="1"/>
  <c r="AR13" i="13"/>
  <c r="S13" i="13" s="1"/>
  <c r="AS13" i="13"/>
  <c r="AT13" i="13"/>
  <c r="AX13" i="13"/>
  <c r="AA14" i="13"/>
  <c r="AB14" i="13"/>
  <c r="AD14" i="13"/>
  <c r="AH14" i="13"/>
  <c r="AI14" i="13"/>
  <c r="AL14" i="13"/>
  <c r="AM14" i="13"/>
  <c r="AN14" i="13"/>
  <c r="AO14" i="13"/>
  <c r="T14" i="13" s="1"/>
  <c r="AP14" i="13"/>
  <c r="Q14" i="13" s="1"/>
  <c r="AQ14" i="13"/>
  <c r="R14" i="13" s="1"/>
  <c r="AR14" i="13"/>
  <c r="S14" i="13" s="1"/>
  <c r="AS14" i="13"/>
  <c r="AT14" i="13"/>
  <c r="AX14" i="13"/>
  <c r="AA15" i="13"/>
  <c r="AB15" i="13"/>
  <c r="AD15" i="13"/>
  <c r="AH15" i="13"/>
  <c r="AI15" i="13"/>
  <c r="AJ15" i="13"/>
  <c r="AL15" i="13"/>
  <c r="AM15" i="13"/>
  <c r="AN15" i="13"/>
  <c r="L15" i="13" s="1"/>
  <c r="AO15" i="13"/>
  <c r="T15" i="13" s="1"/>
  <c r="AP15" i="13"/>
  <c r="Q15" i="13" s="1"/>
  <c r="AQ15" i="13"/>
  <c r="R15" i="13" s="1"/>
  <c r="AR15" i="13"/>
  <c r="S15" i="13" s="1"/>
  <c r="AS15" i="13"/>
  <c r="AT15" i="13"/>
  <c r="AX15" i="13"/>
  <c r="AA16" i="13"/>
  <c r="AB16" i="13"/>
  <c r="AD16" i="13"/>
  <c r="AH16" i="13"/>
  <c r="AI16" i="13"/>
  <c r="AL16" i="13"/>
  <c r="AM16" i="13"/>
  <c r="AN16" i="13"/>
  <c r="AO16" i="13"/>
  <c r="T16" i="13" s="1"/>
  <c r="AP16" i="13"/>
  <c r="Q16" i="13" s="1"/>
  <c r="AQ16" i="13"/>
  <c r="R16" i="13" s="1"/>
  <c r="AR16" i="13"/>
  <c r="S16" i="13" s="1"/>
  <c r="AS16" i="13"/>
  <c r="AT16" i="13"/>
  <c r="AX16" i="13"/>
  <c r="AA17" i="13"/>
  <c r="AB17" i="13"/>
  <c r="AD17" i="13"/>
  <c r="AH17" i="13"/>
  <c r="AI17" i="13"/>
  <c r="AL17" i="13"/>
  <c r="AM17" i="13"/>
  <c r="AN17" i="13"/>
  <c r="AO17" i="13"/>
  <c r="T17" i="13" s="1"/>
  <c r="AP17" i="13"/>
  <c r="Q17" i="13" s="1"/>
  <c r="AQ17" i="13"/>
  <c r="R17" i="13" s="1"/>
  <c r="AR17" i="13"/>
  <c r="S17" i="13" s="1"/>
  <c r="AS17" i="13"/>
  <c r="AT17" i="13"/>
  <c r="AX17" i="13"/>
  <c r="AA18" i="13"/>
  <c r="AB18" i="13"/>
  <c r="AD18" i="13"/>
  <c r="AH18" i="13"/>
  <c r="AI18" i="13"/>
  <c r="AL18" i="13"/>
  <c r="AM18" i="13"/>
  <c r="AN18" i="13"/>
  <c r="AO18" i="13"/>
  <c r="T18" i="13" s="1"/>
  <c r="AP18" i="13"/>
  <c r="Q18" i="13" s="1"/>
  <c r="AQ18" i="13"/>
  <c r="R18" i="13" s="1"/>
  <c r="AR18" i="13"/>
  <c r="S18" i="13" s="1"/>
  <c r="AS18" i="13"/>
  <c r="AT18" i="13"/>
  <c r="AX18" i="13"/>
  <c r="AA19" i="13"/>
  <c r="AB19" i="13"/>
  <c r="AD19" i="13"/>
  <c r="AH19" i="13"/>
  <c r="AI19" i="13"/>
  <c r="AL19" i="13"/>
  <c r="AM19" i="13"/>
  <c r="AN19" i="13"/>
  <c r="AO19" i="13"/>
  <c r="T19" i="13" s="1"/>
  <c r="AP19" i="13"/>
  <c r="Q19" i="13" s="1"/>
  <c r="AQ19" i="13"/>
  <c r="R19" i="13" s="1"/>
  <c r="AR19" i="13"/>
  <c r="S19" i="13" s="1"/>
  <c r="AS19" i="13"/>
  <c r="AT19" i="13"/>
  <c r="AX19" i="13"/>
  <c r="AA20" i="13"/>
  <c r="AB20" i="13"/>
  <c r="AD20" i="13"/>
  <c r="AH20" i="13"/>
  <c r="AI20" i="13"/>
  <c r="AL20" i="13"/>
  <c r="AM20" i="13"/>
  <c r="AN20" i="13"/>
  <c r="AO20" i="13"/>
  <c r="T20" i="13" s="1"/>
  <c r="AP20" i="13"/>
  <c r="Q20" i="13" s="1"/>
  <c r="AQ20" i="13"/>
  <c r="R20" i="13" s="1"/>
  <c r="AR20" i="13"/>
  <c r="S20" i="13" s="1"/>
  <c r="AS20" i="13"/>
  <c r="AT20" i="13"/>
  <c r="AX20" i="13"/>
  <c r="AA21" i="13"/>
  <c r="AB21" i="13"/>
  <c r="AD21" i="13"/>
  <c r="AH21" i="13"/>
  <c r="AI21" i="13"/>
  <c r="AL21" i="13"/>
  <c r="AM21" i="13"/>
  <c r="AN21" i="13"/>
  <c r="AO21" i="13"/>
  <c r="T21" i="13" s="1"/>
  <c r="AP21" i="13"/>
  <c r="Q21" i="13" s="1"/>
  <c r="AQ21" i="13"/>
  <c r="R21" i="13" s="1"/>
  <c r="AR21" i="13"/>
  <c r="S21" i="13" s="1"/>
  <c r="AS21" i="13"/>
  <c r="AT21" i="13"/>
  <c r="AX21" i="13"/>
  <c r="AA22" i="13"/>
  <c r="AB22" i="13"/>
  <c r="AD22" i="13"/>
  <c r="AH22" i="13"/>
  <c r="AI22" i="13"/>
  <c r="AL22" i="13"/>
  <c r="AM22" i="13"/>
  <c r="AN22" i="13"/>
  <c r="L22" i="13" s="1"/>
  <c r="AO22" i="13"/>
  <c r="T22" i="13" s="1"/>
  <c r="AP22" i="13"/>
  <c r="Q22" i="13" s="1"/>
  <c r="AQ22" i="13"/>
  <c r="R22" i="13" s="1"/>
  <c r="AR22" i="13"/>
  <c r="S22" i="13" s="1"/>
  <c r="AS22" i="13"/>
  <c r="AT22" i="13"/>
  <c r="AX22" i="13"/>
  <c r="AA23" i="13"/>
  <c r="AB23" i="13"/>
  <c r="AD23" i="13"/>
  <c r="AH23" i="13"/>
  <c r="AI23" i="13"/>
  <c r="AL23" i="13"/>
  <c r="AM23" i="13"/>
  <c r="AN23" i="13"/>
  <c r="L23" i="13" s="1"/>
  <c r="AO23" i="13"/>
  <c r="T23" i="13" s="1"/>
  <c r="AP23" i="13"/>
  <c r="Q23" i="13" s="1"/>
  <c r="AQ23" i="13"/>
  <c r="R23" i="13" s="1"/>
  <c r="AR23" i="13"/>
  <c r="S23" i="13" s="1"/>
  <c r="AS23" i="13"/>
  <c r="AT23" i="13"/>
  <c r="AX23" i="13"/>
  <c r="AA24" i="13"/>
  <c r="AB24" i="13"/>
  <c r="AD24" i="13"/>
  <c r="AH24" i="13"/>
  <c r="AI24" i="13"/>
  <c r="AL24" i="13"/>
  <c r="AM24" i="13"/>
  <c r="AN24" i="13"/>
  <c r="AO24" i="13"/>
  <c r="T24" i="13" s="1"/>
  <c r="AP24" i="13"/>
  <c r="Q24" i="13" s="1"/>
  <c r="AQ24" i="13"/>
  <c r="R24" i="13" s="1"/>
  <c r="AR24" i="13"/>
  <c r="S24" i="13" s="1"/>
  <c r="AS24" i="13"/>
  <c r="AT24" i="13"/>
  <c r="AX24" i="13"/>
  <c r="AA25" i="13"/>
  <c r="AB25" i="13"/>
  <c r="AD25" i="13"/>
  <c r="AH25" i="13"/>
  <c r="AI25" i="13"/>
  <c r="AJ25" i="13"/>
  <c r="AL25" i="13"/>
  <c r="AM25" i="13"/>
  <c r="AN25" i="13"/>
  <c r="AO25" i="13"/>
  <c r="T25" i="13" s="1"/>
  <c r="AP25" i="13"/>
  <c r="Q25" i="13" s="1"/>
  <c r="AQ25" i="13"/>
  <c r="R25" i="13" s="1"/>
  <c r="AR25" i="13"/>
  <c r="S25" i="13" s="1"/>
  <c r="AS25" i="13"/>
  <c r="AT25" i="13"/>
  <c r="AX25" i="13"/>
  <c r="AA26" i="13"/>
  <c r="AB26" i="13"/>
  <c r="AD26" i="13"/>
  <c r="AH26" i="13"/>
  <c r="AI26" i="13"/>
  <c r="AL26" i="13"/>
  <c r="AM26" i="13"/>
  <c r="AN26" i="13"/>
  <c r="AO26" i="13"/>
  <c r="T26" i="13" s="1"/>
  <c r="AP26" i="13"/>
  <c r="Q26" i="13" s="1"/>
  <c r="AQ26" i="13"/>
  <c r="R26" i="13" s="1"/>
  <c r="AR26" i="13"/>
  <c r="S26" i="13" s="1"/>
  <c r="AS26" i="13"/>
  <c r="AT26" i="13"/>
  <c r="AX26" i="13"/>
  <c r="AJ27" i="13"/>
  <c r="AA27" i="13"/>
  <c r="AB27" i="13"/>
  <c r="AD27" i="13"/>
  <c r="AH27" i="13"/>
  <c r="AI27" i="13"/>
  <c r="AL27" i="13"/>
  <c r="AM27" i="13"/>
  <c r="AN27" i="13"/>
  <c r="AO27" i="13"/>
  <c r="T27" i="13" s="1"/>
  <c r="AP27" i="13"/>
  <c r="Q27" i="13" s="1"/>
  <c r="AQ27" i="13"/>
  <c r="R27" i="13" s="1"/>
  <c r="AR27" i="13"/>
  <c r="S27" i="13" s="1"/>
  <c r="AS27" i="13"/>
  <c r="AT27" i="13"/>
  <c r="AX27" i="13"/>
  <c r="AJ28" i="13"/>
  <c r="AA28" i="13"/>
  <c r="AB28" i="13"/>
  <c r="AD28" i="13"/>
  <c r="AH28" i="13"/>
  <c r="AI28" i="13"/>
  <c r="AL28" i="13"/>
  <c r="AM28" i="13"/>
  <c r="AN28" i="13"/>
  <c r="AO28" i="13"/>
  <c r="T28" i="13" s="1"/>
  <c r="AP28" i="13"/>
  <c r="Q28" i="13" s="1"/>
  <c r="AQ28" i="13"/>
  <c r="R28" i="13" s="1"/>
  <c r="AR28" i="13"/>
  <c r="S28" i="13" s="1"/>
  <c r="AS28" i="13"/>
  <c r="AT28" i="13"/>
  <c r="AX28" i="13"/>
  <c r="AA29" i="13"/>
  <c r="AB29" i="13"/>
  <c r="AD29" i="13"/>
  <c r="AH29" i="13"/>
  <c r="AI29" i="13"/>
  <c r="AL29" i="13"/>
  <c r="AM29" i="13"/>
  <c r="AN29" i="13"/>
  <c r="L29" i="13" s="1"/>
  <c r="AO29" i="13"/>
  <c r="T29" i="13" s="1"/>
  <c r="AP29" i="13"/>
  <c r="Q29" i="13" s="1"/>
  <c r="AQ29" i="13"/>
  <c r="R29" i="13" s="1"/>
  <c r="AR29" i="13"/>
  <c r="S29" i="13" s="1"/>
  <c r="AS29" i="13"/>
  <c r="AT29" i="13"/>
  <c r="AX29" i="13"/>
  <c r="AA30" i="13"/>
  <c r="AB30" i="13"/>
  <c r="AD30" i="13"/>
  <c r="AH30" i="13"/>
  <c r="AI30" i="13"/>
  <c r="AJ30" i="13"/>
  <c r="AL30" i="13"/>
  <c r="AM30" i="13"/>
  <c r="AN30" i="13"/>
  <c r="AO30" i="13"/>
  <c r="T30" i="13" s="1"/>
  <c r="AP30" i="13"/>
  <c r="Q30" i="13" s="1"/>
  <c r="AQ30" i="13"/>
  <c r="R30" i="13" s="1"/>
  <c r="AR30" i="13"/>
  <c r="S30" i="13" s="1"/>
  <c r="AS30" i="13"/>
  <c r="AT30" i="13"/>
  <c r="AX30" i="13"/>
  <c r="AA31" i="13"/>
  <c r="AB31" i="13"/>
  <c r="AD31" i="13"/>
  <c r="AH31" i="13"/>
  <c r="AI31" i="13"/>
  <c r="AL31" i="13"/>
  <c r="AM31" i="13"/>
  <c r="AN31" i="13"/>
  <c r="AO31" i="13"/>
  <c r="T31" i="13" s="1"/>
  <c r="AP31" i="13"/>
  <c r="Q31" i="13" s="1"/>
  <c r="AQ31" i="13"/>
  <c r="R31" i="13" s="1"/>
  <c r="AR31" i="13"/>
  <c r="S31" i="13" s="1"/>
  <c r="AS31" i="13"/>
  <c r="AT31" i="13"/>
  <c r="AX31" i="13"/>
  <c r="AA32" i="13"/>
  <c r="AB32" i="13"/>
  <c r="AD32" i="13"/>
  <c r="AH32" i="13"/>
  <c r="AI32" i="13"/>
  <c r="AL32" i="13"/>
  <c r="AM32" i="13"/>
  <c r="AN32" i="13"/>
  <c r="AO32" i="13"/>
  <c r="T32" i="13" s="1"/>
  <c r="AP32" i="13"/>
  <c r="Q32" i="13" s="1"/>
  <c r="AQ32" i="13"/>
  <c r="R32" i="13" s="1"/>
  <c r="AR32" i="13"/>
  <c r="S32" i="13" s="1"/>
  <c r="AS32" i="13"/>
  <c r="AT32" i="13"/>
  <c r="AX32" i="13"/>
  <c r="AA33" i="13"/>
  <c r="AB33" i="13"/>
  <c r="AD33" i="13"/>
  <c r="AH33" i="13"/>
  <c r="AI33" i="13"/>
  <c r="AL33" i="13"/>
  <c r="AM33" i="13"/>
  <c r="AN33" i="13"/>
  <c r="AO33" i="13"/>
  <c r="T33" i="13" s="1"/>
  <c r="AP33" i="13"/>
  <c r="Q33" i="13" s="1"/>
  <c r="AQ33" i="13"/>
  <c r="R33" i="13" s="1"/>
  <c r="AR33" i="13"/>
  <c r="S33" i="13" s="1"/>
  <c r="AS33" i="13"/>
  <c r="AT33" i="13"/>
  <c r="AX33" i="13"/>
  <c r="AA34" i="13"/>
  <c r="AB34" i="13"/>
  <c r="AD34" i="13"/>
  <c r="AH34" i="13"/>
  <c r="AI34" i="13"/>
  <c r="AL34" i="13"/>
  <c r="AM34" i="13"/>
  <c r="AN34" i="13"/>
  <c r="AO34" i="13"/>
  <c r="T34" i="13" s="1"/>
  <c r="AP34" i="13"/>
  <c r="Q34" i="13" s="1"/>
  <c r="AQ34" i="13"/>
  <c r="R34" i="13" s="1"/>
  <c r="AR34" i="13"/>
  <c r="S34" i="13" s="1"/>
  <c r="AS34" i="13"/>
  <c r="AT34" i="13"/>
  <c r="AX34" i="13"/>
  <c r="AA35" i="13"/>
  <c r="AB35" i="13"/>
  <c r="AD35" i="13"/>
  <c r="AH35" i="13"/>
  <c r="AI35" i="13"/>
  <c r="AL35" i="13"/>
  <c r="AM35" i="13"/>
  <c r="AN35" i="13"/>
  <c r="AO35" i="13"/>
  <c r="T35" i="13" s="1"/>
  <c r="AP35" i="13"/>
  <c r="Q35" i="13" s="1"/>
  <c r="AQ35" i="13"/>
  <c r="R35" i="13" s="1"/>
  <c r="AR35" i="13"/>
  <c r="S35" i="13" s="1"/>
  <c r="AS35" i="13"/>
  <c r="AT35" i="13"/>
  <c r="AX35" i="13"/>
  <c r="AA36" i="13"/>
  <c r="AB36" i="13"/>
  <c r="AD36" i="13"/>
  <c r="AH36" i="13"/>
  <c r="AI36" i="13"/>
  <c r="AL36" i="13"/>
  <c r="AM36" i="13"/>
  <c r="AN36" i="13"/>
  <c r="L36" i="13" s="1"/>
  <c r="AO36" i="13"/>
  <c r="T36" i="13" s="1"/>
  <c r="AP36" i="13"/>
  <c r="Q36" i="13" s="1"/>
  <c r="AQ36" i="13"/>
  <c r="R36" i="13" s="1"/>
  <c r="AR36" i="13"/>
  <c r="S36" i="13" s="1"/>
  <c r="AS36" i="13"/>
  <c r="AT36" i="13"/>
  <c r="AX36" i="13"/>
  <c r="AA39" i="13"/>
  <c r="AH41" i="13"/>
  <c r="AF45" i="13"/>
  <c r="U50" i="13"/>
  <c r="AE53" i="13"/>
  <c r="AF53" i="13" s="1"/>
  <c r="AH53" i="13" s="1"/>
  <c r="M51" i="13" s="1"/>
  <c r="AE54" i="13"/>
  <c r="AF54" i="13" s="1"/>
  <c r="AH54" i="13" s="1"/>
  <c r="M52" i="13" s="1"/>
  <c r="AF2" i="12"/>
  <c r="M4" i="12"/>
  <c r="AA7" i="12"/>
  <c r="AB7" i="12"/>
  <c r="AD7" i="12"/>
  <c r="AH7" i="12"/>
  <c r="AI7" i="12"/>
  <c r="AL7" i="12"/>
  <c r="AM7" i="12"/>
  <c r="AN7" i="12"/>
  <c r="AO7" i="12"/>
  <c r="T7" i="12" s="1"/>
  <c r="AP7" i="12"/>
  <c r="Q7" i="12" s="1"/>
  <c r="AQ7" i="12"/>
  <c r="R7" i="12" s="1"/>
  <c r="AR7" i="12"/>
  <c r="S7" i="12" s="1"/>
  <c r="AS7" i="12"/>
  <c r="AT7" i="12"/>
  <c r="AU7" i="12"/>
  <c r="AV7" i="12"/>
  <c r="AX7" i="12"/>
  <c r="AA8" i="12"/>
  <c r="AB8" i="12"/>
  <c r="AD8" i="12"/>
  <c r="AH8" i="12"/>
  <c r="AI8" i="12"/>
  <c r="AL8" i="12"/>
  <c r="AM8" i="12"/>
  <c r="AN8" i="12"/>
  <c r="AO8" i="12"/>
  <c r="T8" i="12" s="1"/>
  <c r="AP8" i="12"/>
  <c r="Q8" i="12" s="1"/>
  <c r="AQ8" i="12"/>
  <c r="R8" i="12" s="1"/>
  <c r="AR8" i="12"/>
  <c r="S8" i="12" s="1"/>
  <c r="AS8" i="12"/>
  <c r="AT8" i="12"/>
  <c r="AU8" i="12"/>
  <c r="AX8" i="12"/>
  <c r="AA9" i="12"/>
  <c r="AB9" i="12"/>
  <c r="AD9" i="12"/>
  <c r="AH9" i="12"/>
  <c r="AI9" i="12"/>
  <c r="AL9" i="12"/>
  <c r="AM9" i="12"/>
  <c r="AN9" i="12"/>
  <c r="AO9" i="12"/>
  <c r="T9" i="12" s="1"/>
  <c r="AP9" i="12"/>
  <c r="Q9" i="12" s="1"/>
  <c r="AQ9" i="12"/>
  <c r="R9" i="12" s="1"/>
  <c r="AR9" i="12"/>
  <c r="S9" i="12" s="1"/>
  <c r="AS9" i="12"/>
  <c r="AT9" i="12"/>
  <c r="AX9" i="12"/>
  <c r="AA10" i="12"/>
  <c r="AB10" i="12"/>
  <c r="AD10" i="12"/>
  <c r="AH10" i="12"/>
  <c r="AI10" i="12"/>
  <c r="AL10" i="12"/>
  <c r="AM10" i="12"/>
  <c r="AN10" i="12"/>
  <c r="AO10" i="12"/>
  <c r="T10" i="12" s="1"/>
  <c r="AP10" i="12"/>
  <c r="Q10" i="12" s="1"/>
  <c r="AQ10" i="12"/>
  <c r="R10" i="12" s="1"/>
  <c r="AR10" i="12"/>
  <c r="S10" i="12" s="1"/>
  <c r="AS10" i="12"/>
  <c r="AT10" i="12"/>
  <c r="AX10" i="12"/>
  <c r="AA11" i="12"/>
  <c r="AB11" i="12"/>
  <c r="AD11" i="12"/>
  <c r="AH11" i="12"/>
  <c r="AI11" i="12"/>
  <c r="AL11" i="12"/>
  <c r="AM11" i="12"/>
  <c r="AN11" i="12"/>
  <c r="AO11" i="12"/>
  <c r="T11" i="12" s="1"/>
  <c r="AP11" i="12"/>
  <c r="Q11" i="12" s="1"/>
  <c r="AQ11" i="12"/>
  <c r="R11" i="12" s="1"/>
  <c r="AR11" i="12"/>
  <c r="S11" i="12" s="1"/>
  <c r="AS11" i="12"/>
  <c r="AT11" i="12"/>
  <c r="AX11" i="12"/>
  <c r="AJ12" i="12"/>
  <c r="AA12" i="12"/>
  <c r="AB12" i="12"/>
  <c r="AD12" i="12"/>
  <c r="AH12" i="12"/>
  <c r="AI12" i="12"/>
  <c r="AL12" i="12"/>
  <c r="AM12" i="12"/>
  <c r="AN12" i="12"/>
  <c r="AO12" i="12"/>
  <c r="T12" i="12" s="1"/>
  <c r="AP12" i="12"/>
  <c r="Q12" i="12" s="1"/>
  <c r="AQ12" i="12"/>
  <c r="R12" i="12" s="1"/>
  <c r="AR12" i="12"/>
  <c r="S12" i="12" s="1"/>
  <c r="AS12" i="12"/>
  <c r="AT12" i="12"/>
  <c r="AX12" i="12"/>
  <c r="AA13" i="12"/>
  <c r="AB13" i="12"/>
  <c r="AD13" i="12"/>
  <c r="AH13" i="12"/>
  <c r="AI13" i="12"/>
  <c r="AJ13" i="12"/>
  <c r="AL13" i="12"/>
  <c r="AM13" i="12"/>
  <c r="AN13" i="12"/>
  <c r="AO13" i="12"/>
  <c r="T13" i="12" s="1"/>
  <c r="AP13" i="12"/>
  <c r="Q13" i="12" s="1"/>
  <c r="AQ13" i="12"/>
  <c r="R13" i="12" s="1"/>
  <c r="AR13" i="12"/>
  <c r="S13" i="12" s="1"/>
  <c r="AS13" i="12"/>
  <c r="AT13" i="12"/>
  <c r="AX13" i="12"/>
  <c r="AA14" i="12"/>
  <c r="AB14" i="12"/>
  <c r="AD14" i="12"/>
  <c r="AH14" i="12"/>
  <c r="AI14" i="12"/>
  <c r="AL14" i="12"/>
  <c r="AM14" i="12"/>
  <c r="AN14" i="12"/>
  <c r="AO14" i="12"/>
  <c r="T14" i="12" s="1"/>
  <c r="AP14" i="12"/>
  <c r="Q14" i="12" s="1"/>
  <c r="AQ14" i="12"/>
  <c r="R14" i="12" s="1"/>
  <c r="AR14" i="12"/>
  <c r="S14" i="12" s="1"/>
  <c r="AS14" i="12"/>
  <c r="AT14" i="12"/>
  <c r="AX14" i="12"/>
  <c r="AA15" i="12"/>
  <c r="AB15" i="12"/>
  <c r="AD15" i="12"/>
  <c r="AH15" i="12"/>
  <c r="AI15" i="12"/>
  <c r="AL15" i="12"/>
  <c r="AM15" i="12"/>
  <c r="AN15" i="12"/>
  <c r="AO15" i="12"/>
  <c r="T15" i="12" s="1"/>
  <c r="AP15" i="12"/>
  <c r="Q15" i="12" s="1"/>
  <c r="AQ15" i="12"/>
  <c r="R15" i="12" s="1"/>
  <c r="AR15" i="12"/>
  <c r="S15" i="12" s="1"/>
  <c r="AS15" i="12"/>
  <c r="AT15" i="12"/>
  <c r="AX15" i="12"/>
  <c r="AA16" i="12"/>
  <c r="AB16" i="12"/>
  <c r="AD16" i="12"/>
  <c r="AH16" i="12"/>
  <c r="AI16" i="12"/>
  <c r="AL16" i="12"/>
  <c r="AM16" i="12"/>
  <c r="AN16" i="12"/>
  <c r="AO16" i="12"/>
  <c r="T16" i="12" s="1"/>
  <c r="AP16" i="12"/>
  <c r="Q16" i="12" s="1"/>
  <c r="AQ16" i="12"/>
  <c r="R16" i="12" s="1"/>
  <c r="AR16" i="12"/>
  <c r="S16" i="12" s="1"/>
  <c r="AS16" i="12"/>
  <c r="AT16" i="12"/>
  <c r="AX16" i="12"/>
  <c r="AA17" i="12"/>
  <c r="AB17" i="12"/>
  <c r="AD17" i="12"/>
  <c r="AH17" i="12"/>
  <c r="AI17" i="12"/>
  <c r="AL17" i="12"/>
  <c r="AM17" i="12"/>
  <c r="AN17" i="12"/>
  <c r="AO17" i="12"/>
  <c r="T17" i="12" s="1"/>
  <c r="AP17" i="12"/>
  <c r="Q17" i="12" s="1"/>
  <c r="AQ17" i="12"/>
  <c r="R17" i="12" s="1"/>
  <c r="AR17" i="12"/>
  <c r="S17" i="12" s="1"/>
  <c r="AS17" i="12"/>
  <c r="AT17" i="12"/>
  <c r="AX17" i="12"/>
  <c r="AA18" i="12"/>
  <c r="AB18" i="12"/>
  <c r="AD18" i="12"/>
  <c r="AH18" i="12"/>
  <c r="AI18" i="12"/>
  <c r="AL18" i="12"/>
  <c r="AM18" i="12"/>
  <c r="AN18" i="12"/>
  <c r="L18" i="12" s="1"/>
  <c r="AO18" i="12"/>
  <c r="T18" i="12" s="1"/>
  <c r="AP18" i="12"/>
  <c r="Q18" i="12" s="1"/>
  <c r="AQ18" i="12"/>
  <c r="R18" i="12" s="1"/>
  <c r="AR18" i="12"/>
  <c r="S18" i="12" s="1"/>
  <c r="AS18" i="12"/>
  <c r="AT18" i="12"/>
  <c r="AX18" i="12"/>
  <c r="AA19" i="12"/>
  <c r="AB19" i="12"/>
  <c r="AD19" i="12"/>
  <c r="AH19" i="12"/>
  <c r="AI19" i="12"/>
  <c r="AL19" i="12"/>
  <c r="AM19" i="12"/>
  <c r="AN19" i="12"/>
  <c r="AO19" i="12"/>
  <c r="T19" i="12" s="1"/>
  <c r="AP19" i="12"/>
  <c r="Q19" i="12" s="1"/>
  <c r="AQ19" i="12"/>
  <c r="R19" i="12" s="1"/>
  <c r="AR19" i="12"/>
  <c r="AS19" i="12"/>
  <c r="AT19" i="12"/>
  <c r="AX19" i="12"/>
  <c r="AA20" i="12"/>
  <c r="AB20" i="12"/>
  <c r="AD20" i="12"/>
  <c r="AH20" i="12"/>
  <c r="AI20" i="12"/>
  <c r="AL20" i="12"/>
  <c r="AM20" i="12"/>
  <c r="AN20" i="12"/>
  <c r="AO20" i="12"/>
  <c r="T20" i="12" s="1"/>
  <c r="AP20" i="12"/>
  <c r="Q20" i="12" s="1"/>
  <c r="AQ20" i="12"/>
  <c r="R20" i="12" s="1"/>
  <c r="AR20" i="12"/>
  <c r="S20" i="12" s="1"/>
  <c r="AS20" i="12"/>
  <c r="AT20" i="12"/>
  <c r="AX20" i="12"/>
  <c r="AA21" i="12"/>
  <c r="AB21" i="12"/>
  <c r="AD21" i="12"/>
  <c r="AH21" i="12"/>
  <c r="AI21" i="12"/>
  <c r="AJ21" i="12"/>
  <c r="AL21" i="12"/>
  <c r="AM21" i="12"/>
  <c r="AN21" i="12"/>
  <c r="AO21" i="12"/>
  <c r="T21" i="12" s="1"/>
  <c r="AP21" i="12"/>
  <c r="Q21" i="12" s="1"/>
  <c r="AQ21" i="12"/>
  <c r="R21" i="12" s="1"/>
  <c r="AR21" i="12"/>
  <c r="S21" i="12" s="1"/>
  <c r="AS21" i="12"/>
  <c r="AT21" i="12"/>
  <c r="AX21" i="12"/>
  <c r="AA22" i="12"/>
  <c r="AB22" i="12"/>
  <c r="AD22" i="12"/>
  <c r="AH22" i="12"/>
  <c r="AI22" i="12"/>
  <c r="AL22" i="12"/>
  <c r="AM22" i="12"/>
  <c r="AN22" i="12"/>
  <c r="AO22" i="12"/>
  <c r="T22" i="12" s="1"/>
  <c r="AP22" i="12"/>
  <c r="Q22" i="12" s="1"/>
  <c r="AQ22" i="12"/>
  <c r="R22" i="12" s="1"/>
  <c r="AR22" i="12"/>
  <c r="S22" i="12" s="1"/>
  <c r="AS22" i="12"/>
  <c r="AT22" i="12"/>
  <c r="AX22" i="12"/>
  <c r="AA23" i="12"/>
  <c r="AB23" i="12"/>
  <c r="AD23" i="12"/>
  <c r="AH23" i="12"/>
  <c r="AI23" i="12"/>
  <c r="AL23" i="12"/>
  <c r="AM23" i="12"/>
  <c r="AN23" i="12"/>
  <c r="AO23" i="12"/>
  <c r="T23" i="12" s="1"/>
  <c r="AP23" i="12"/>
  <c r="Q23" i="12" s="1"/>
  <c r="AQ23" i="12"/>
  <c r="R23" i="12" s="1"/>
  <c r="AR23" i="12"/>
  <c r="S23" i="12" s="1"/>
  <c r="AS23" i="12"/>
  <c r="AT23" i="12"/>
  <c r="AX23" i="12"/>
  <c r="AA24" i="12"/>
  <c r="AB24" i="12"/>
  <c r="AD24" i="12"/>
  <c r="AH24" i="12"/>
  <c r="AI24" i="12"/>
  <c r="AL24" i="12"/>
  <c r="AM24" i="12"/>
  <c r="AN24" i="12"/>
  <c r="AO24" i="12"/>
  <c r="T24" i="12" s="1"/>
  <c r="AP24" i="12"/>
  <c r="Q24" i="12" s="1"/>
  <c r="AQ24" i="12"/>
  <c r="R24" i="12" s="1"/>
  <c r="AR24" i="12"/>
  <c r="S24" i="12" s="1"/>
  <c r="AS24" i="12"/>
  <c r="AT24" i="12"/>
  <c r="AX24" i="12"/>
  <c r="AJ25" i="12"/>
  <c r="AA25" i="12"/>
  <c r="AB25" i="12"/>
  <c r="AD25" i="12"/>
  <c r="AH25" i="12"/>
  <c r="AI25" i="12"/>
  <c r="AL25" i="12"/>
  <c r="AM25" i="12"/>
  <c r="AN25" i="12"/>
  <c r="AO25" i="12"/>
  <c r="T25" i="12" s="1"/>
  <c r="AP25" i="12"/>
  <c r="Q25" i="12" s="1"/>
  <c r="AQ25" i="12"/>
  <c r="R25" i="12" s="1"/>
  <c r="AR25" i="12"/>
  <c r="S25" i="12" s="1"/>
  <c r="AS25" i="12"/>
  <c r="AT25" i="12"/>
  <c r="AX25" i="12"/>
  <c r="AA26" i="12"/>
  <c r="AB26" i="12"/>
  <c r="AD26" i="12"/>
  <c r="AH26" i="12"/>
  <c r="AI26" i="12"/>
  <c r="AL26" i="12"/>
  <c r="AM26" i="12"/>
  <c r="AN26" i="12"/>
  <c r="AO26" i="12"/>
  <c r="T26" i="12" s="1"/>
  <c r="AP26" i="12"/>
  <c r="Q26" i="12" s="1"/>
  <c r="AQ26" i="12"/>
  <c r="R26" i="12" s="1"/>
  <c r="AR26" i="12"/>
  <c r="S26" i="12" s="1"/>
  <c r="AS26" i="12"/>
  <c r="AT26" i="12"/>
  <c r="AX26" i="12"/>
  <c r="AA27" i="12"/>
  <c r="AB27" i="12"/>
  <c r="AD27" i="12"/>
  <c r="AH27" i="12"/>
  <c r="AI27" i="12"/>
  <c r="AL27" i="12"/>
  <c r="AM27" i="12"/>
  <c r="AN27" i="12"/>
  <c r="AO27" i="12"/>
  <c r="T27" i="12" s="1"/>
  <c r="AP27" i="12"/>
  <c r="Q27" i="12" s="1"/>
  <c r="AQ27" i="12"/>
  <c r="R27" i="12" s="1"/>
  <c r="AR27" i="12"/>
  <c r="S27" i="12" s="1"/>
  <c r="AS27" i="12"/>
  <c r="AT27" i="12"/>
  <c r="AX27" i="12"/>
  <c r="AA28" i="12"/>
  <c r="AB28" i="12"/>
  <c r="AD28" i="12"/>
  <c r="AH28" i="12"/>
  <c r="AI28" i="12"/>
  <c r="AJ28" i="12"/>
  <c r="AL28" i="12"/>
  <c r="AM28" i="12"/>
  <c r="AN28" i="12"/>
  <c r="AO28" i="12"/>
  <c r="T28" i="12" s="1"/>
  <c r="AP28" i="12"/>
  <c r="AQ28" i="12"/>
  <c r="R28" i="12" s="1"/>
  <c r="AR28" i="12"/>
  <c r="S28" i="12" s="1"/>
  <c r="AS28" i="12"/>
  <c r="AT28" i="12"/>
  <c r="AX28" i="12"/>
  <c r="AA29" i="12"/>
  <c r="AB29" i="12"/>
  <c r="AD29" i="12"/>
  <c r="AH29" i="12"/>
  <c r="AI29" i="12"/>
  <c r="AL29" i="12"/>
  <c r="AM29" i="12"/>
  <c r="AN29" i="12"/>
  <c r="AO29" i="12"/>
  <c r="T29" i="12" s="1"/>
  <c r="AP29" i="12"/>
  <c r="Q29" i="12" s="1"/>
  <c r="AQ29" i="12"/>
  <c r="R29" i="12" s="1"/>
  <c r="AR29" i="12"/>
  <c r="S29" i="12" s="1"/>
  <c r="AS29" i="12"/>
  <c r="AT29" i="12"/>
  <c r="AX29" i="12"/>
  <c r="AA30" i="12"/>
  <c r="AB30" i="12"/>
  <c r="AD30" i="12"/>
  <c r="AH30" i="12"/>
  <c r="AI30" i="12"/>
  <c r="AL30" i="12"/>
  <c r="AM30" i="12"/>
  <c r="AN30" i="12"/>
  <c r="AO30" i="12"/>
  <c r="T30" i="12" s="1"/>
  <c r="AP30" i="12"/>
  <c r="Q30" i="12" s="1"/>
  <c r="AQ30" i="12"/>
  <c r="R30" i="12" s="1"/>
  <c r="AR30" i="12"/>
  <c r="S30" i="12" s="1"/>
  <c r="AS30" i="12"/>
  <c r="AT30" i="12"/>
  <c r="AX30" i="12"/>
  <c r="AA31" i="12"/>
  <c r="AB31" i="12"/>
  <c r="AD31" i="12"/>
  <c r="AH31" i="12"/>
  <c r="AI31" i="12"/>
  <c r="AL31" i="12"/>
  <c r="AM31" i="12"/>
  <c r="AN31" i="12"/>
  <c r="AO31" i="12"/>
  <c r="T31" i="12" s="1"/>
  <c r="AP31" i="12"/>
  <c r="Q31" i="12" s="1"/>
  <c r="AQ31" i="12"/>
  <c r="R31" i="12" s="1"/>
  <c r="AR31" i="12"/>
  <c r="S31" i="12" s="1"/>
  <c r="AS31" i="12"/>
  <c r="AT31" i="12"/>
  <c r="AX31" i="12"/>
  <c r="AJ32" i="12"/>
  <c r="AA32" i="12"/>
  <c r="AB32" i="12"/>
  <c r="AD32" i="12"/>
  <c r="AH32" i="12"/>
  <c r="AI32" i="12"/>
  <c r="AL32" i="12"/>
  <c r="AM32" i="12"/>
  <c r="AN32" i="12"/>
  <c r="L32" i="12" s="1"/>
  <c r="AO32" i="12"/>
  <c r="T32" i="12" s="1"/>
  <c r="AP32" i="12"/>
  <c r="Q32" i="12" s="1"/>
  <c r="AQ32" i="12"/>
  <c r="R32" i="12" s="1"/>
  <c r="AR32" i="12"/>
  <c r="S32" i="12" s="1"/>
  <c r="AS32" i="12"/>
  <c r="AT32" i="12"/>
  <c r="AX32" i="12"/>
  <c r="AJ33" i="12"/>
  <c r="AA33" i="12"/>
  <c r="AB33" i="12"/>
  <c r="AD33" i="12"/>
  <c r="AH33" i="12"/>
  <c r="AI33" i="12"/>
  <c r="AL33" i="12"/>
  <c r="AM33" i="12"/>
  <c r="AN33" i="12"/>
  <c r="AO33" i="12"/>
  <c r="T33" i="12" s="1"/>
  <c r="AP33" i="12"/>
  <c r="Q33" i="12" s="1"/>
  <c r="AQ33" i="12"/>
  <c r="R33" i="12" s="1"/>
  <c r="AR33" i="12"/>
  <c r="S33" i="12" s="1"/>
  <c r="AS33" i="12"/>
  <c r="AT33" i="12"/>
  <c r="AX33" i="12"/>
  <c r="AA34" i="12"/>
  <c r="AB34" i="12"/>
  <c r="AD34" i="12"/>
  <c r="AH34" i="12"/>
  <c r="AI34" i="12"/>
  <c r="AL34" i="12"/>
  <c r="AM34" i="12"/>
  <c r="AN34" i="12"/>
  <c r="AO34" i="12"/>
  <c r="T34" i="12" s="1"/>
  <c r="AP34" i="12"/>
  <c r="Q34" i="12" s="1"/>
  <c r="AQ34" i="12"/>
  <c r="R34" i="12" s="1"/>
  <c r="AR34" i="12"/>
  <c r="S34" i="12" s="1"/>
  <c r="AS34" i="12"/>
  <c r="AT34" i="12"/>
  <c r="AX34" i="12"/>
  <c r="AA35" i="12"/>
  <c r="AB35" i="12"/>
  <c r="AD35" i="12"/>
  <c r="AH35" i="12"/>
  <c r="AI35" i="12"/>
  <c r="AJ35" i="12"/>
  <c r="AL35" i="12"/>
  <c r="AM35" i="12"/>
  <c r="AN35" i="12"/>
  <c r="AO35" i="12"/>
  <c r="T35" i="12" s="1"/>
  <c r="AP35" i="12"/>
  <c r="Q35" i="12" s="1"/>
  <c r="AQ35" i="12"/>
  <c r="R35" i="12" s="1"/>
  <c r="AR35" i="12"/>
  <c r="S35" i="12" s="1"/>
  <c r="AS35" i="12"/>
  <c r="AT35" i="12"/>
  <c r="AX35" i="12"/>
  <c r="AA36" i="12"/>
  <c r="AB36" i="12"/>
  <c r="AD36" i="12"/>
  <c r="AH36" i="12"/>
  <c r="AI36" i="12"/>
  <c r="AL36" i="12"/>
  <c r="AM36" i="12"/>
  <c r="AN36" i="12"/>
  <c r="AO36" i="12"/>
  <c r="T36" i="12" s="1"/>
  <c r="AP36" i="12"/>
  <c r="Q36" i="12" s="1"/>
  <c r="AQ36" i="12"/>
  <c r="R36" i="12" s="1"/>
  <c r="AR36" i="12"/>
  <c r="S36" i="12" s="1"/>
  <c r="AS36" i="12"/>
  <c r="AT36" i="12"/>
  <c r="AX36" i="12"/>
  <c r="AA37" i="12"/>
  <c r="AB37" i="12"/>
  <c r="AD37" i="12"/>
  <c r="AH37" i="12"/>
  <c r="AI37" i="12"/>
  <c r="AL37" i="12"/>
  <c r="AM37" i="12"/>
  <c r="AN37" i="12"/>
  <c r="AO37" i="12"/>
  <c r="T37" i="12" s="1"/>
  <c r="AP37" i="12"/>
  <c r="Q37" i="12" s="1"/>
  <c r="AQ37" i="12"/>
  <c r="R37" i="12" s="1"/>
  <c r="AR37" i="12"/>
  <c r="S37" i="12" s="1"/>
  <c r="AS37" i="12"/>
  <c r="AT37" i="12"/>
  <c r="AX37" i="12"/>
  <c r="AA40" i="12"/>
  <c r="AH42" i="12"/>
  <c r="AF46" i="12"/>
  <c r="M51" i="12"/>
  <c r="U51" i="12" s="1"/>
  <c r="AE54" i="12"/>
  <c r="AF54" i="12" s="1"/>
  <c r="AH54" i="12" s="1"/>
  <c r="M52" i="12" s="1"/>
  <c r="AE55" i="12"/>
  <c r="AF55" i="12" s="1"/>
  <c r="AH55" i="12" s="1"/>
  <c r="M53" i="12" s="1"/>
  <c r="AF2" i="11"/>
  <c r="M4" i="11"/>
  <c r="U4" i="11"/>
  <c r="U4" i="12" s="1"/>
  <c r="AA7" i="11"/>
  <c r="AB7" i="11"/>
  <c r="AD7" i="11"/>
  <c r="AH7" i="11"/>
  <c r="AI7" i="11"/>
  <c r="AL7" i="11"/>
  <c r="AM7" i="11"/>
  <c r="AN7" i="11"/>
  <c r="AO7" i="11"/>
  <c r="T7" i="11" s="1"/>
  <c r="AP7" i="11"/>
  <c r="Q7" i="11" s="1"/>
  <c r="AQ7" i="11"/>
  <c r="R7" i="11" s="1"/>
  <c r="AR7" i="11"/>
  <c r="S7" i="11" s="1"/>
  <c r="AS7" i="11"/>
  <c r="AT7" i="11"/>
  <c r="AU7" i="11"/>
  <c r="N7" i="11" s="1"/>
  <c r="AV7" i="11"/>
  <c r="AX7" i="11"/>
  <c r="AA8" i="11"/>
  <c r="AB8" i="11"/>
  <c r="AD8" i="11"/>
  <c r="AH8" i="11"/>
  <c r="AI8" i="11"/>
  <c r="AL8" i="11"/>
  <c r="AM8" i="11"/>
  <c r="AN8" i="11"/>
  <c r="AO8" i="11"/>
  <c r="T8" i="11" s="1"/>
  <c r="AP8" i="11"/>
  <c r="Q8" i="11" s="1"/>
  <c r="AQ8" i="11"/>
  <c r="R8" i="11" s="1"/>
  <c r="AR8" i="11"/>
  <c r="S8" i="11" s="1"/>
  <c r="AS8" i="11"/>
  <c r="AT8" i="11"/>
  <c r="AU8" i="11"/>
  <c r="N8" i="11" s="1"/>
  <c r="AX8" i="11"/>
  <c r="AA9" i="11"/>
  <c r="AB9" i="11"/>
  <c r="AD9" i="11"/>
  <c r="AH9" i="11"/>
  <c r="AI9" i="11"/>
  <c r="AL9" i="11"/>
  <c r="AM9" i="11"/>
  <c r="AN9" i="11"/>
  <c r="AO9" i="11"/>
  <c r="T9" i="11" s="1"/>
  <c r="AP9" i="11"/>
  <c r="Q9" i="11" s="1"/>
  <c r="AQ9" i="11"/>
  <c r="R9" i="11" s="1"/>
  <c r="AR9" i="11"/>
  <c r="S9" i="11" s="1"/>
  <c r="AS9" i="11"/>
  <c r="AT9" i="11"/>
  <c r="AX9" i="11"/>
  <c r="AA10" i="11"/>
  <c r="AB10" i="11"/>
  <c r="AD10" i="11"/>
  <c r="AH10" i="11"/>
  <c r="AI10" i="11"/>
  <c r="AL10" i="11"/>
  <c r="AM10" i="11"/>
  <c r="AN10" i="11"/>
  <c r="AO10" i="11"/>
  <c r="T10" i="11" s="1"/>
  <c r="AP10" i="11"/>
  <c r="Q10" i="11" s="1"/>
  <c r="AQ10" i="11"/>
  <c r="R10" i="11" s="1"/>
  <c r="AR10" i="11"/>
  <c r="S10" i="11" s="1"/>
  <c r="AS10" i="11"/>
  <c r="AT10" i="11"/>
  <c r="AX10" i="11"/>
  <c r="AA11" i="11"/>
  <c r="AB11" i="11"/>
  <c r="AD11" i="11"/>
  <c r="AH11" i="11"/>
  <c r="AI11" i="11"/>
  <c r="AL11" i="11"/>
  <c r="AM11" i="11"/>
  <c r="AN11" i="11"/>
  <c r="AO11" i="11"/>
  <c r="T11" i="11" s="1"/>
  <c r="AP11" i="11"/>
  <c r="Q11" i="11" s="1"/>
  <c r="AQ11" i="11"/>
  <c r="R11" i="11" s="1"/>
  <c r="AR11" i="11"/>
  <c r="S11" i="11" s="1"/>
  <c r="AS11" i="11"/>
  <c r="AT11" i="11"/>
  <c r="AX11" i="11"/>
  <c r="AJ12" i="11"/>
  <c r="AA12" i="11"/>
  <c r="AB12" i="11"/>
  <c r="AD12" i="11"/>
  <c r="AH12" i="11"/>
  <c r="AI12" i="11"/>
  <c r="AL12" i="11"/>
  <c r="AM12" i="11"/>
  <c r="AN12" i="11"/>
  <c r="AO12" i="11"/>
  <c r="T12" i="11" s="1"/>
  <c r="AP12" i="11"/>
  <c r="Q12" i="11" s="1"/>
  <c r="AQ12" i="11"/>
  <c r="R12" i="11" s="1"/>
  <c r="AR12" i="11"/>
  <c r="S12" i="11" s="1"/>
  <c r="AS12" i="11"/>
  <c r="AT12" i="11"/>
  <c r="AX12" i="11"/>
  <c r="AJ13" i="11"/>
  <c r="AA13" i="11"/>
  <c r="AB13" i="11"/>
  <c r="AD13" i="11"/>
  <c r="AH13" i="11"/>
  <c r="AI13" i="11"/>
  <c r="AL13" i="11"/>
  <c r="AM13" i="11"/>
  <c r="AN13" i="11"/>
  <c r="L13" i="11" s="1"/>
  <c r="AO13" i="11"/>
  <c r="T13" i="11" s="1"/>
  <c r="AP13" i="11"/>
  <c r="Q13" i="11" s="1"/>
  <c r="AQ13" i="11"/>
  <c r="R13" i="11" s="1"/>
  <c r="AR13" i="11"/>
  <c r="S13" i="11" s="1"/>
  <c r="AS13" i="11"/>
  <c r="AT13" i="11"/>
  <c r="AX13" i="11"/>
  <c r="AJ14" i="11"/>
  <c r="AA14" i="11"/>
  <c r="AB14" i="11"/>
  <c r="AD14" i="11"/>
  <c r="AH14" i="11"/>
  <c r="AI14" i="11"/>
  <c r="AL14" i="11"/>
  <c r="AM14" i="11"/>
  <c r="AN14" i="11"/>
  <c r="L14" i="11" s="1"/>
  <c r="AO14" i="11"/>
  <c r="T14" i="11" s="1"/>
  <c r="AP14" i="11"/>
  <c r="Q14" i="11" s="1"/>
  <c r="AQ14" i="11"/>
  <c r="R14" i="11" s="1"/>
  <c r="AR14" i="11"/>
  <c r="S14" i="11" s="1"/>
  <c r="AS14" i="11"/>
  <c r="AT14" i="11"/>
  <c r="AX14" i="11"/>
  <c r="AA15" i="11"/>
  <c r="AB15" i="11"/>
  <c r="AD15" i="11"/>
  <c r="AH15" i="11"/>
  <c r="AI15" i="11"/>
  <c r="AL15" i="11"/>
  <c r="AM15" i="11"/>
  <c r="AN15" i="11"/>
  <c r="AO15" i="11"/>
  <c r="T15" i="11" s="1"/>
  <c r="AP15" i="11"/>
  <c r="Q15" i="11" s="1"/>
  <c r="AQ15" i="11"/>
  <c r="R15" i="11" s="1"/>
  <c r="AR15" i="11"/>
  <c r="S15" i="11" s="1"/>
  <c r="AS15" i="11"/>
  <c r="AT15" i="11"/>
  <c r="AX15" i="11"/>
  <c r="AA16" i="11"/>
  <c r="AB16" i="11"/>
  <c r="AD16" i="11"/>
  <c r="AH16" i="11"/>
  <c r="AI16" i="11"/>
  <c r="AJ16" i="11"/>
  <c r="AL16" i="11"/>
  <c r="AM16" i="11"/>
  <c r="AN16" i="11"/>
  <c r="AO16" i="11"/>
  <c r="T16" i="11" s="1"/>
  <c r="AP16" i="11"/>
  <c r="Q16" i="11" s="1"/>
  <c r="AQ16" i="11"/>
  <c r="R16" i="11" s="1"/>
  <c r="AR16" i="11"/>
  <c r="S16" i="11" s="1"/>
  <c r="AS16" i="11"/>
  <c r="AT16" i="11"/>
  <c r="AX16" i="11"/>
  <c r="AA17" i="11"/>
  <c r="AB17" i="11"/>
  <c r="AD17" i="11"/>
  <c r="AH17" i="11"/>
  <c r="AI17" i="11"/>
  <c r="AL17" i="11"/>
  <c r="AM17" i="11"/>
  <c r="AN17" i="11"/>
  <c r="AO17" i="11"/>
  <c r="T17" i="11" s="1"/>
  <c r="AP17" i="11"/>
  <c r="Q17" i="11" s="1"/>
  <c r="AQ17" i="11"/>
  <c r="R17" i="11" s="1"/>
  <c r="AR17" i="11"/>
  <c r="S17" i="11" s="1"/>
  <c r="AS17" i="11"/>
  <c r="AT17" i="11"/>
  <c r="AX17" i="11"/>
  <c r="AA18" i="11"/>
  <c r="AB18" i="11"/>
  <c r="AD18" i="11"/>
  <c r="AH18" i="11"/>
  <c r="AI18" i="11"/>
  <c r="AL18" i="11"/>
  <c r="AM18" i="11"/>
  <c r="AN18" i="11"/>
  <c r="AO18" i="11"/>
  <c r="T18" i="11" s="1"/>
  <c r="AP18" i="11"/>
  <c r="Q18" i="11" s="1"/>
  <c r="AQ18" i="11"/>
  <c r="R18" i="11" s="1"/>
  <c r="AR18" i="11"/>
  <c r="S18" i="11" s="1"/>
  <c r="AS18" i="11"/>
  <c r="AT18" i="11"/>
  <c r="AX18" i="11"/>
  <c r="AA19" i="11"/>
  <c r="AB19" i="11"/>
  <c r="AD19" i="11"/>
  <c r="AH19" i="11"/>
  <c r="AI19" i="11"/>
  <c r="AL19" i="11"/>
  <c r="AM19" i="11"/>
  <c r="AN19" i="11"/>
  <c r="AO19" i="11"/>
  <c r="T19" i="11" s="1"/>
  <c r="AP19" i="11"/>
  <c r="Q19" i="11" s="1"/>
  <c r="AQ19" i="11"/>
  <c r="R19" i="11" s="1"/>
  <c r="AR19" i="11"/>
  <c r="S19" i="11" s="1"/>
  <c r="AS19" i="11"/>
  <c r="AT19" i="11"/>
  <c r="AX19" i="11"/>
  <c r="AA20" i="11"/>
  <c r="AB20" i="11"/>
  <c r="AD20" i="11"/>
  <c r="AH20" i="11"/>
  <c r="AI20" i="11"/>
  <c r="AL20" i="11"/>
  <c r="AM20" i="11"/>
  <c r="AN20" i="11"/>
  <c r="L20" i="11" s="1"/>
  <c r="AO20" i="11"/>
  <c r="T20" i="11" s="1"/>
  <c r="AP20" i="11"/>
  <c r="Q20" i="11" s="1"/>
  <c r="AQ20" i="11"/>
  <c r="R20" i="11" s="1"/>
  <c r="AR20" i="11"/>
  <c r="S20" i="11" s="1"/>
  <c r="AS20" i="11"/>
  <c r="AT20" i="11"/>
  <c r="AX20" i="11"/>
  <c r="AA21" i="11"/>
  <c r="AB21" i="11"/>
  <c r="AD21" i="11"/>
  <c r="AH21" i="11"/>
  <c r="AI21" i="11"/>
  <c r="AL21" i="11"/>
  <c r="AM21" i="11"/>
  <c r="AN21" i="11"/>
  <c r="AO21" i="11"/>
  <c r="T21" i="11" s="1"/>
  <c r="AP21" i="11"/>
  <c r="Q21" i="11" s="1"/>
  <c r="AQ21" i="11"/>
  <c r="R21" i="11" s="1"/>
  <c r="AR21" i="11"/>
  <c r="S21" i="11" s="1"/>
  <c r="AS21" i="11"/>
  <c r="AT21" i="11"/>
  <c r="AX21" i="11"/>
  <c r="AA22" i="11"/>
  <c r="AB22" i="11"/>
  <c r="AD22" i="11"/>
  <c r="AH22" i="11"/>
  <c r="AI22" i="11"/>
  <c r="AL22" i="11"/>
  <c r="AM22" i="11"/>
  <c r="AN22" i="11"/>
  <c r="AO22" i="11"/>
  <c r="T22" i="11" s="1"/>
  <c r="AP22" i="11"/>
  <c r="Q22" i="11" s="1"/>
  <c r="AQ22" i="11"/>
  <c r="R22" i="11" s="1"/>
  <c r="AR22" i="11"/>
  <c r="S22" i="11" s="1"/>
  <c r="AS22" i="11"/>
  <c r="AT22" i="11"/>
  <c r="AX22" i="11"/>
  <c r="AA23" i="11"/>
  <c r="AB23" i="11"/>
  <c r="AD23" i="11"/>
  <c r="AH23" i="11"/>
  <c r="AI23" i="11"/>
  <c r="AL23" i="11"/>
  <c r="AM23" i="11"/>
  <c r="AN23" i="11"/>
  <c r="AO23" i="11"/>
  <c r="T23" i="11" s="1"/>
  <c r="AP23" i="11"/>
  <c r="Q23" i="11" s="1"/>
  <c r="AQ23" i="11"/>
  <c r="R23" i="11" s="1"/>
  <c r="AR23" i="11"/>
  <c r="S23" i="11" s="1"/>
  <c r="AS23" i="11"/>
  <c r="AT23" i="11"/>
  <c r="AX23" i="11"/>
  <c r="AA24" i="11"/>
  <c r="AB24" i="11"/>
  <c r="AD24" i="11"/>
  <c r="AH24" i="11"/>
  <c r="AI24" i="11"/>
  <c r="AL24" i="11"/>
  <c r="AM24" i="11"/>
  <c r="AN24" i="11"/>
  <c r="AO24" i="11"/>
  <c r="T24" i="11" s="1"/>
  <c r="AP24" i="11"/>
  <c r="Q24" i="11" s="1"/>
  <c r="AQ24" i="11"/>
  <c r="R24" i="11" s="1"/>
  <c r="AR24" i="11"/>
  <c r="S24" i="11" s="1"/>
  <c r="AS24" i="11"/>
  <c r="AT24" i="11"/>
  <c r="AX24" i="11"/>
  <c r="AA25" i="11"/>
  <c r="AB25" i="11"/>
  <c r="AD25" i="11"/>
  <c r="AH25" i="11"/>
  <c r="AI25" i="11"/>
  <c r="AL25" i="11"/>
  <c r="AM25" i="11"/>
  <c r="AN25" i="11"/>
  <c r="AO25" i="11"/>
  <c r="T25" i="11" s="1"/>
  <c r="AP25" i="11"/>
  <c r="Q25" i="11" s="1"/>
  <c r="AQ25" i="11"/>
  <c r="R25" i="11" s="1"/>
  <c r="AR25" i="11"/>
  <c r="S25" i="11" s="1"/>
  <c r="AS25" i="11"/>
  <c r="AT25" i="11"/>
  <c r="AX25" i="11"/>
  <c r="AJ26" i="11"/>
  <c r="AA26" i="11"/>
  <c r="AB26" i="11"/>
  <c r="AD26" i="11"/>
  <c r="AH26" i="11"/>
  <c r="AI26" i="11"/>
  <c r="AL26" i="11"/>
  <c r="AM26" i="11"/>
  <c r="AN26" i="11"/>
  <c r="AO26" i="11"/>
  <c r="T26" i="11" s="1"/>
  <c r="AP26" i="11"/>
  <c r="Q26" i="11" s="1"/>
  <c r="AQ26" i="11"/>
  <c r="R26" i="11" s="1"/>
  <c r="AR26" i="11"/>
  <c r="S26" i="11" s="1"/>
  <c r="AS26" i="11"/>
  <c r="AT26" i="11"/>
  <c r="AX26" i="11"/>
  <c r="AJ27" i="11"/>
  <c r="AA27" i="11"/>
  <c r="AB27" i="11"/>
  <c r="AD27" i="11"/>
  <c r="AH27" i="11"/>
  <c r="AI27" i="11"/>
  <c r="AL27" i="11"/>
  <c r="AM27" i="11"/>
  <c r="AN27" i="11"/>
  <c r="L27" i="11" s="1"/>
  <c r="AO27" i="11"/>
  <c r="T27" i="11" s="1"/>
  <c r="AP27" i="11"/>
  <c r="Q27" i="11" s="1"/>
  <c r="AQ27" i="11"/>
  <c r="R27" i="11" s="1"/>
  <c r="AR27" i="11"/>
  <c r="S27" i="11" s="1"/>
  <c r="AS27" i="11"/>
  <c r="AT27" i="11"/>
  <c r="AX27" i="11"/>
  <c r="AA28" i="11"/>
  <c r="AB28" i="11"/>
  <c r="AD28" i="11"/>
  <c r="AH28" i="11"/>
  <c r="AI28" i="11"/>
  <c r="AL28" i="11"/>
  <c r="AM28" i="11"/>
  <c r="AN28" i="11"/>
  <c r="AO28" i="11"/>
  <c r="T28" i="11" s="1"/>
  <c r="AP28" i="11"/>
  <c r="Q28" i="11" s="1"/>
  <c r="AQ28" i="11"/>
  <c r="R28" i="11" s="1"/>
  <c r="AR28" i="11"/>
  <c r="S28" i="11" s="1"/>
  <c r="AS28" i="11"/>
  <c r="AT28" i="11"/>
  <c r="AX28" i="11"/>
  <c r="AA29" i="11"/>
  <c r="AB29" i="11"/>
  <c r="AD29" i="11"/>
  <c r="AH29" i="11"/>
  <c r="AI29" i="11"/>
  <c r="AL29" i="11"/>
  <c r="AM29" i="11"/>
  <c r="AN29" i="11"/>
  <c r="AO29" i="11"/>
  <c r="AP29" i="11"/>
  <c r="Q29" i="11" s="1"/>
  <c r="AQ29" i="11"/>
  <c r="R29" i="11" s="1"/>
  <c r="AR29" i="11"/>
  <c r="S29" i="11" s="1"/>
  <c r="AS29" i="11"/>
  <c r="AT29" i="11"/>
  <c r="AX29" i="11"/>
  <c r="AA30" i="11"/>
  <c r="AB30" i="11"/>
  <c r="AD30" i="11"/>
  <c r="AH30" i="11"/>
  <c r="AI30" i="11"/>
  <c r="AL30" i="11"/>
  <c r="AM30" i="11"/>
  <c r="AN30" i="11"/>
  <c r="AO30" i="11"/>
  <c r="T30" i="11" s="1"/>
  <c r="AP30" i="11"/>
  <c r="Q30" i="11" s="1"/>
  <c r="AQ30" i="11"/>
  <c r="R30" i="11" s="1"/>
  <c r="AR30" i="11"/>
  <c r="S30" i="11" s="1"/>
  <c r="AS30" i="11"/>
  <c r="AT30" i="11"/>
  <c r="AX30" i="11"/>
  <c r="AA31" i="11"/>
  <c r="AB31" i="11"/>
  <c r="AD31" i="11"/>
  <c r="AH31" i="11"/>
  <c r="AI31" i="11"/>
  <c r="AL31" i="11"/>
  <c r="AM31" i="11"/>
  <c r="AN31" i="11"/>
  <c r="AO31" i="11"/>
  <c r="T31" i="11" s="1"/>
  <c r="AP31" i="11"/>
  <c r="Q31" i="11" s="1"/>
  <c r="AQ31" i="11"/>
  <c r="R31" i="11" s="1"/>
  <c r="AR31" i="11"/>
  <c r="AS31" i="11"/>
  <c r="AT31" i="11"/>
  <c r="AX31" i="11"/>
  <c r="AA32" i="11"/>
  <c r="AB32" i="11"/>
  <c r="AD32" i="11"/>
  <c r="AH32" i="11"/>
  <c r="AI32" i="11"/>
  <c r="AL32" i="11"/>
  <c r="AM32" i="11"/>
  <c r="AN32" i="11"/>
  <c r="AO32" i="11"/>
  <c r="T32" i="11" s="1"/>
  <c r="AP32" i="11"/>
  <c r="Q32" i="11" s="1"/>
  <c r="AQ32" i="11"/>
  <c r="R32" i="11" s="1"/>
  <c r="AR32" i="11"/>
  <c r="S32" i="11" s="1"/>
  <c r="AS32" i="11"/>
  <c r="AT32" i="11"/>
  <c r="AX32" i="11"/>
  <c r="AA33" i="11"/>
  <c r="AB33" i="11"/>
  <c r="AD33" i="11"/>
  <c r="AH33" i="11"/>
  <c r="AI33" i="11"/>
  <c r="AL33" i="11"/>
  <c r="AM33" i="11"/>
  <c r="AN33" i="11"/>
  <c r="AO33" i="11"/>
  <c r="T33" i="11" s="1"/>
  <c r="AP33" i="11"/>
  <c r="Q33" i="11" s="1"/>
  <c r="AQ33" i="11"/>
  <c r="R33" i="11" s="1"/>
  <c r="AR33" i="11"/>
  <c r="S33" i="11" s="1"/>
  <c r="AS33" i="11"/>
  <c r="AT33" i="11"/>
  <c r="AX33" i="11"/>
  <c r="AJ34" i="11"/>
  <c r="AA34" i="11"/>
  <c r="AB34" i="11"/>
  <c r="AD34" i="11"/>
  <c r="AH34" i="11"/>
  <c r="AI34" i="11"/>
  <c r="AL34" i="11"/>
  <c r="AM34" i="11"/>
  <c r="AN34" i="11"/>
  <c r="L34" i="11" s="1"/>
  <c r="AO34" i="11"/>
  <c r="T34" i="11" s="1"/>
  <c r="AP34" i="11"/>
  <c r="Q34" i="11" s="1"/>
  <c r="AQ34" i="11"/>
  <c r="R34" i="11" s="1"/>
  <c r="AR34" i="11"/>
  <c r="S34" i="11" s="1"/>
  <c r="AS34" i="11"/>
  <c r="AT34" i="11"/>
  <c r="AX34" i="11"/>
  <c r="AJ35" i="11"/>
  <c r="AA35" i="11"/>
  <c r="AB35" i="11"/>
  <c r="AD35" i="11"/>
  <c r="AH35" i="11"/>
  <c r="AI35" i="11"/>
  <c r="AL35" i="11"/>
  <c r="AM35" i="11"/>
  <c r="AN35" i="11"/>
  <c r="L35" i="11" s="1"/>
  <c r="AO35" i="11"/>
  <c r="T35" i="11" s="1"/>
  <c r="AP35" i="11"/>
  <c r="Q35" i="11" s="1"/>
  <c r="AQ35" i="11"/>
  <c r="R35" i="11" s="1"/>
  <c r="AR35" i="11"/>
  <c r="S35" i="11" s="1"/>
  <c r="AS35" i="11"/>
  <c r="AT35" i="11"/>
  <c r="AX35" i="11"/>
  <c r="AA36" i="11"/>
  <c r="AB36" i="11"/>
  <c r="AD36" i="11"/>
  <c r="AH36" i="11"/>
  <c r="AI36" i="11"/>
  <c r="AL36" i="11"/>
  <c r="AM36" i="11"/>
  <c r="AN36" i="11"/>
  <c r="L36" i="11" s="1"/>
  <c r="AO36" i="11"/>
  <c r="T36" i="11" s="1"/>
  <c r="AP36" i="11"/>
  <c r="Q36" i="11" s="1"/>
  <c r="AQ36" i="11"/>
  <c r="R36" i="11" s="1"/>
  <c r="AR36" i="11"/>
  <c r="S36" i="11" s="1"/>
  <c r="AS36" i="11"/>
  <c r="AT36" i="11"/>
  <c r="AX36" i="11"/>
  <c r="AA39" i="11"/>
  <c r="AH41" i="11"/>
  <c r="U50" i="11"/>
  <c r="AE53" i="11"/>
  <c r="AF53" i="11" s="1"/>
  <c r="AH53" i="11" s="1"/>
  <c r="M51" i="11" s="1"/>
  <c r="AE54" i="11"/>
  <c r="AF54" i="11" s="1"/>
  <c r="AH54" i="11" s="1"/>
  <c r="M52" i="11" s="1"/>
  <c r="AJ9" i="14"/>
  <c r="AJ22" i="14"/>
  <c r="AJ36" i="14"/>
  <c r="AJ11" i="13"/>
  <c r="AJ18" i="13"/>
  <c r="AJ31" i="13"/>
  <c r="AJ24" i="13"/>
  <c r="AJ10" i="13"/>
  <c r="AJ7" i="12"/>
  <c r="AJ27" i="12"/>
  <c r="AJ34" i="12"/>
  <c r="AJ14" i="12"/>
  <c r="AJ20" i="12"/>
  <c r="AJ8" i="11"/>
  <c r="AJ30" i="11"/>
  <c r="AJ36" i="11"/>
  <c r="AJ23" i="11"/>
  <c r="AJ9" i="11"/>
  <c r="AJ29" i="11"/>
  <c r="AJ22" i="11"/>
  <c r="AJ26" i="10"/>
  <c r="AJ11" i="10"/>
  <c r="AJ32" i="10"/>
  <c r="AJ25" i="10"/>
  <c r="AJ18" i="10"/>
  <c r="AJ12" i="10"/>
  <c r="AJ14" i="9"/>
  <c r="AJ28" i="9"/>
  <c r="AJ22" i="9"/>
  <c r="AJ8" i="9"/>
  <c r="AJ35" i="9"/>
  <c r="AJ21" i="9"/>
  <c r="AJ7" i="9"/>
  <c r="AJ17" i="8"/>
  <c r="AJ24" i="8"/>
  <c r="AJ23" i="8"/>
  <c r="AJ10" i="8"/>
  <c r="AJ30" i="8"/>
  <c r="AJ9" i="8"/>
  <c r="AJ12" i="7"/>
  <c r="AJ33" i="7"/>
  <c r="AJ34" i="7"/>
  <c r="AJ23" i="6"/>
  <c r="AJ9" i="6"/>
  <c r="AJ7" i="6"/>
  <c r="AJ21" i="6"/>
  <c r="AJ11" i="5"/>
  <c r="AJ7" i="5"/>
  <c r="AJ31" i="5"/>
  <c r="AJ24" i="5"/>
  <c r="AJ18" i="5"/>
  <c r="AU7" i="5"/>
  <c r="AJ31" i="4"/>
  <c r="AJ35" i="3"/>
  <c r="AJ24" i="4"/>
  <c r="AJ28" i="3"/>
  <c r="AC12" i="13"/>
  <c r="AG12" i="13" s="1"/>
  <c r="AV8" i="11"/>
  <c r="AJ34" i="10"/>
  <c r="AU8" i="9"/>
  <c r="N8" i="9" s="1"/>
  <c r="AV7" i="9"/>
  <c r="AJ20" i="4"/>
  <c r="AV8" i="12"/>
  <c r="AV7" i="7"/>
  <c r="AU7" i="7"/>
  <c r="T9" i="9"/>
  <c r="AJ32" i="13"/>
  <c r="AJ28" i="7"/>
  <c r="AU7" i="8"/>
  <c r="AV7" i="8"/>
  <c r="AJ29" i="9"/>
  <c r="AU7" i="3"/>
  <c r="N7" i="3" s="1"/>
  <c r="AV7" i="3"/>
  <c r="R24" i="10"/>
  <c r="AJ15" i="9"/>
  <c r="AJ24" i="14"/>
  <c r="AU8" i="14"/>
  <c r="AV8" i="14"/>
  <c r="AF23" i="10"/>
  <c r="W23" i="10" s="1"/>
  <c r="AU7" i="10"/>
  <c r="AJ37" i="14"/>
  <c r="AJ16" i="14"/>
  <c r="AJ15" i="11"/>
  <c r="AU8" i="10"/>
  <c r="AJ36" i="9"/>
  <c r="AJ31" i="8"/>
  <c r="AJ13" i="7"/>
  <c r="AJ15" i="6"/>
  <c r="AJ14" i="6"/>
  <c r="AJ29" i="6"/>
  <c r="AJ22" i="6"/>
  <c r="AJ36" i="6"/>
  <c r="AJ25" i="5"/>
  <c r="AJ10" i="5"/>
  <c r="AJ18" i="4"/>
  <c r="AJ32" i="4"/>
  <c r="AJ25" i="4"/>
  <c r="AJ17" i="4"/>
  <c r="AJ34" i="3"/>
  <c r="AJ21" i="3"/>
  <c r="AJ14" i="3"/>
  <c r="AJ13" i="3"/>
  <c r="AJ10" i="3"/>
  <c r="AU9" i="12"/>
  <c r="AV9" i="12"/>
  <c r="AU8" i="6"/>
  <c r="AV8" i="6"/>
  <c r="AU8" i="3"/>
  <c r="N8" i="3" s="1"/>
  <c r="AV8" i="3"/>
  <c r="AU8" i="8"/>
  <c r="AV8" i="8"/>
  <c r="AU9" i="11"/>
  <c r="N9" i="11" s="1"/>
  <c r="AV9" i="11"/>
  <c r="AU10" i="12"/>
  <c r="AV10" i="12"/>
  <c r="AV10" i="11"/>
  <c r="AU12" i="12"/>
  <c r="AF11" i="9" l="1"/>
  <c r="W11" i="9" s="1"/>
  <c r="L22" i="9"/>
  <c r="L14" i="6"/>
  <c r="L25" i="12"/>
  <c r="AK25" i="12" s="1"/>
  <c r="L18" i="13"/>
  <c r="AF32" i="12"/>
  <c r="W32" i="12" s="1"/>
  <c r="L11" i="12"/>
  <c r="AJ11" i="12" s="1"/>
  <c r="AK38" i="12" s="1"/>
  <c r="AK39" i="12" s="1"/>
  <c r="AK40" i="12" s="1"/>
  <c r="B35" i="15" s="1"/>
  <c r="AF8" i="10"/>
  <c r="W8" i="10" s="1"/>
  <c r="L37" i="10"/>
  <c r="L30" i="10"/>
  <c r="AK30" i="10" s="1"/>
  <c r="L24" i="10"/>
  <c r="AK24" i="10" s="1"/>
  <c r="L23" i="10"/>
  <c r="L27" i="9"/>
  <c r="U27" i="9" s="1"/>
  <c r="L31" i="7"/>
  <c r="U31" i="7" s="1"/>
  <c r="AJ31" i="7" s="1"/>
  <c r="L14" i="7"/>
  <c r="AK14" i="7" s="1"/>
  <c r="L27" i="7"/>
  <c r="L28" i="7"/>
  <c r="AK28" i="7" s="1"/>
  <c r="L12" i="6"/>
  <c r="U12" i="6" s="1"/>
  <c r="AJ12" i="6" s="1"/>
  <c r="L19" i="6"/>
  <c r="L17" i="4"/>
  <c r="AF7" i="10"/>
  <c r="W7" i="10" s="1"/>
  <c r="AF15" i="10"/>
  <c r="W15" i="10" s="1"/>
  <c r="L16" i="10"/>
  <c r="AJ16" i="10" s="1"/>
  <c r="L9" i="10"/>
  <c r="AJ9" i="10" s="1"/>
  <c r="L20" i="7"/>
  <c r="U20" i="7" s="1"/>
  <c r="AJ20" i="7" s="1"/>
  <c r="L33" i="6"/>
  <c r="AJ33" i="6" s="1"/>
  <c r="L26" i="6"/>
  <c r="AJ26" i="6" s="1"/>
  <c r="L19" i="7"/>
  <c r="L28" i="11"/>
  <c r="AK28" i="11" s="1"/>
  <c r="L35" i="12"/>
  <c r="AK35" i="12" s="1"/>
  <c r="L14" i="12"/>
  <c r="AK14" i="12" s="1"/>
  <c r="L26" i="12"/>
  <c r="L31" i="13"/>
  <c r="AK31" i="13" s="1"/>
  <c r="L36" i="14"/>
  <c r="AK36" i="14" s="1"/>
  <c r="L37" i="14"/>
  <c r="AK37" i="14" s="1"/>
  <c r="L28" i="14"/>
  <c r="L16" i="14"/>
  <c r="L15" i="14"/>
  <c r="L7" i="14"/>
  <c r="AK7" i="14" s="1"/>
  <c r="L32" i="13"/>
  <c r="AK32" i="13" s="1"/>
  <c r="L30" i="13"/>
  <c r="AK30" i="13" s="1"/>
  <c r="L11" i="13"/>
  <c r="L23" i="11"/>
  <c r="AK23" i="11" s="1"/>
  <c r="L7" i="11"/>
  <c r="M7" i="11" s="1"/>
  <c r="L12" i="10"/>
  <c r="AK12" i="10" s="1"/>
  <c r="L34" i="9"/>
  <c r="AK34" i="9" s="1"/>
  <c r="L34" i="6"/>
  <c r="AK34" i="6" s="1"/>
  <c r="L29" i="6"/>
  <c r="AK29" i="6" s="1"/>
  <c r="L37" i="5"/>
  <c r="AK37" i="5" s="1"/>
  <c r="L9" i="5"/>
  <c r="AK9" i="5" s="1"/>
  <c r="L30" i="4"/>
  <c r="AK30" i="4" s="1"/>
  <c r="L23" i="4"/>
  <c r="AK23" i="4" s="1"/>
  <c r="L16" i="4"/>
  <c r="L10" i="4"/>
  <c r="L31" i="4"/>
  <c r="AK31" i="4" s="1"/>
  <c r="L24" i="4"/>
  <c r="AK24" i="4" s="1"/>
  <c r="L9" i="4"/>
  <c r="L16" i="13"/>
  <c r="U16" i="13" s="1"/>
  <c r="AJ16" i="13" s="1"/>
  <c r="L12" i="3"/>
  <c r="L22" i="14"/>
  <c r="L23" i="14"/>
  <c r="AE10" i="13"/>
  <c r="V10" i="13" s="1"/>
  <c r="AC10" i="13"/>
  <c r="AG10" i="13" s="1"/>
  <c r="L18" i="10"/>
  <c r="AK18" i="10" s="1"/>
  <c r="L10" i="10"/>
  <c r="AK10" i="10" s="1"/>
  <c r="L31" i="10"/>
  <c r="AK31" i="10" s="1"/>
  <c r="L19" i="10"/>
  <c r="AK19" i="10" s="1"/>
  <c r="AF25" i="8"/>
  <c r="W25" i="8" s="1"/>
  <c r="L11" i="7"/>
  <c r="AK11" i="7" s="1"/>
  <c r="L35" i="7"/>
  <c r="L7" i="7"/>
  <c r="AC15" i="5"/>
  <c r="AG15" i="5" s="1"/>
  <c r="AU36" i="4"/>
  <c r="AM36" i="4"/>
  <c r="L20" i="9"/>
  <c r="AK20" i="9" s="1"/>
  <c r="L21" i="14"/>
  <c r="AK21" i="14" s="1"/>
  <c r="L21" i="7"/>
  <c r="AK21" i="7" s="1"/>
  <c r="L20" i="6"/>
  <c r="AK20" i="6" s="1"/>
  <c r="L21" i="11"/>
  <c r="AK21" i="11" s="1"/>
  <c r="L9" i="13"/>
  <c r="L32" i="7"/>
  <c r="L12" i="7"/>
  <c r="L13" i="9"/>
  <c r="AK13" i="9" s="1"/>
  <c r="L14" i="3"/>
  <c r="L14" i="14"/>
  <c r="L13" i="7"/>
  <c r="AK13" i="7" s="1"/>
  <c r="L13" i="6"/>
  <c r="AK13" i="6" s="1"/>
  <c r="L16" i="5"/>
  <c r="AK16" i="5" s="1"/>
  <c r="L30" i="14"/>
  <c r="AK30" i="14" s="1"/>
  <c r="L29" i="14"/>
  <c r="AK29" i="14" s="1"/>
  <c r="L9" i="14"/>
  <c r="AK9" i="14" s="1"/>
  <c r="L8" i="14"/>
  <c r="L27" i="12"/>
  <c r="AK27" i="12" s="1"/>
  <c r="AK36" i="11"/>
  <c r="L15" i="11"/>
  <c r="AK15" i="11" s="1"/>
  <c r="L16" i="11"/>
  <c r="AK16" i="11" s="1"/>
  <c r="AE9" i="10"/>
  <c r="V9" i="10" s="1"/>
  <c r="L36" i="9"/>
  <c r="AK36" i="9" s="1"/>
  <c r="L15" i="9"/>
  <c r="AK15" i="9" s="1"/>
  <c r="AC27" i="5"/>
  <c r="AG27" i="5" s="1"/>
  <c r="L18" i="5"/>
  <c r="AK18" i="5" s="1"/>
  <c r="L17" i="5"/>
  <c r="AK17" i="5" s="1"/>
  <c r="AR36" i="4"/>
  <c r="AE36" i="4"/>
  <c r="AE37" i="4" s="1"/>
  <c r="AE38" i="4" s="1"/>
  <c r="AQ36" i="4"/>
  <c r="AC36" i="4"/>
  <c r="AC37" i="4" s="1"/>
  <c r="AC38" i="4" s="1"/>
  <c r="AI36" i="4"/>
  <c r="AI37" i="4" s="1"/>
  <c r="AI38" i="4" s="1"/>
  <c r="AS36" i="4"/>
  <c r="AP36" i="4"/>
  <c r="AB36" i="4"/>
  <c r="AB37" i="4" s="1"/>
  <c r="AB38" i="4" s="1"/>
  <c r="AN37" i="4"/>
  <c r="H40" i="4" s="1"/>
  <c r="L22" i="8"/>
  <c r="AK22" i="8" s="1"/>
  <c r="AK33" i="14"/>
  <c r="L19" i="12"/>
  <c r="AK19" i="12" s="1"/>
  <c r="L33" i="12"/>
  <c r="AK33" i="12" s="1"/>
  <c r="L12" i="12"/>
  <c r="AK12" i="12" s="1"/>
  <c r="AF11" i="10"/>
  <c r="W11" i="10" s="1"/>
  <c r="AC8" i="10"/>
  <c r="AG8" i="10" s="1"/>
  <c r="L17" i="10"/>
  <c r="L36" i="8"/>
  <c r="AK36" i="8" s="1"/>
  <c r="L24" i="8"/>
  <c r="AK24" i="8" s="1"/>
  <c r="L15" i="8"/>
  <c r="L29" i="8"/>
  <c r="AK29" i="8" s="1"/>
  <c r="L27" i="6"/>
  <c r="U27" i="6" s="1"/>
  <c r="AJ27" i="6" s="1"/>
  <c r="L7" i="6"/>
  <c r="AK7" i="6" s="1"/>
  <c r="L15" i="6"/>
  <c r="AK15" i="6" s="1"/>
  <c r="AE8" i="4"/>
  <c r="V8" i="4" s="1"/>
  <c r="AF18" i="4"/>
  <c r="W18" i="4" s="1"/>
  <c r="L17" i="8"/>
  <c r="AK17" i="8" s="1"/>
  <c r="AC11" i="8"/>
  <c r="AG11" i="8" s="1"/>
  <c r="U26" i="7"/>
  <c r="AJ26" i="7" s="1"/>
  <c r="AC11" i="7"/>
  <c r="AG11" i="7" s="1"/>
  <c r="L28" i="6"/>
  <c r="AE36" i="6"/>
  <c r="V36" i="6" s="1"/>
  <c r="L10" i="5"/>
  <c r="AK10" i="5" s="1"/>
  <c r="L28" i="12"/>
  <c r="L30" i="11"/>
  <c r="AK30" i="11" s="1"/>
  <c r="L26" i="10"/>
  <c r="AK26" i="10" s="1"/>
  <c r="AE34" i="10"/>
  <c r="V34" i="10" s="1"/>
  <c r="AC9" i="10"/>
  <c r="AG9" i="10" s="1"/>
  <c r="L21" i="9"/>
  <c r="L8" i="9"/>
  <c r="AK8" i="9" s="1"/>
  <c r="L31" i="8"/>
  <c r="AK31" i="8" s="1"/>
  <c r="L10" i="8"/>
  <c r="AK10" i="8" s="1"/>
  <c r="AK32" i="6"/>
  <c r="L25" i="5"/>
  <c r="AK25" i="5" s="1"/>
  <c r="L7" i="12"/>
  <c r="AK7" i="12" s="1"/>
  <c r="L34" i="12"/>
  <c r="AK34" i="12" s="1"/>
  <c r="L20" i="12"/>
  <c r="AK20" i="12" s="1"/>
  <c r="L21" i="12"/>
  <c r="AK21" i="12" s="1"/>
  <c r="L13" i="12"/>
  <c r="AK13" i="12" s="1"/>
  <c r="L29" i="11"/>
  <c r="AK29" i="11" s="1"/>
  <c r="L22" i="11"/>
  <c r="AK22" i="11" s="1"/>
  <c r="L9" i="11"/>
  <c r="AK9" i="11" s="1"/>
  <c r="L8" i="11"/>
  <c r="AK8" i="11" s="1"/>
  <c r="L33" i="10"/>
  <c r="AK33" i="10" s="1"/>
  <c r="L32" i="10"/>
  <c r="AK32" i="10" s="1"/>
  <c r="L25" i="10"/>
  <c r="L11" i="10"/>
  <c r="L35" i="9"/>
  <c r="AK35" i="9" s="1"/>
  <c r="L28" i="9"/>
  <c r="AK28" i="9" s="1"/>
  <c r="L29" i="9"/>
  <c r="AK29" i="9" s="1"/>
  <c r="L14" i="9"/>
  <c r="AK14" i="9" s="1"/>
  <c r="L7" i="9"/>
  <c r="AK7" i="9" s="1"/>
  <c r="AF8" i="9"/>
  <c r="W8" i="9" s="1"/>
  <c r="L30" i="8"/>
  <c r="AK30" i="8" s="1"/>
  <c r="L23" i="8"/>
  <c r="AK23" i="8" s="1"/>
  <c r="L16" i="8"/>
  <c r="AK16" i="8" s="1"/>
  <c r="L9" i="8"/>
  <c r="AK9" i="8" s="1"/>
  <c r="AK12" i="7"/>
  <c r="AK33" i="7"/>
  <c r="AK34" i="7"/>
  <c r="L8" i="6"/>
  <c r="L36" i="6"/>
  <c r="AK36" i="6" s="1"/>
  <c r="L35" i="6"/>
  <c r="AK35" i="6" s="1"/>
  <c r="L21" i="6"/>
  <c r="AK21" i="6" s="1"/>
  <c r="L22" i="6"/>
  <c r="AK22" i="6" s="1"/>
  <c r="L31" i="5"/>
  <c r="AK31" i="5" s="1"/>
  <c r="L32" i="5"/>
  <c r="AK32" i="5" s="1"/>
  <c r="L24" i="5"/>
  <c r="AK24" i="5" s="1"/>
  <c r="L11" i="5"/>
  <c r="AK11" i="5" s="1"/>
  <c r="L32" i="4"/>
  <c r="AK32" i="4" s="1"/>
  <c r="L25" i="4"/>
  <c r="AK25" i="4" s="1"/>
  <c r="L18" i="4"/>
  <c r="AK18" i="4" s="1"/>
  <c r="L11" i="4"/>
  <c r="AK11" i="4" s="1"/>
  <c r="T9" i="4"/>
  <c r="Q9" i="4"/>
  <c r="M43" i="4" s="1"/>
  <c r="U43" i="4" s="1"/>
  <c r="S9" i="4"/>
  <c r="R9" i="4"/>
  <c r="M44" i="4" s="1"/>
  <c r="L28" i="3"/>
  <c r="AK28" i="3" s="1"/>
  <c r="AC9" i="13"/>
  <c r="AG9" i="13" s="1"/>
  <c r="L25" i="13"/>
  <c r="L17" i="13"/>
  <c r="U17" i="13" s="1"/>
  <c r="L24" i="13"/>
  <c r="AK24" i="13" s="1"/>
  <c r="L10" i="13"/>
  <c r="AK10" i="13" s="1"/>
  <c r="AY55" i="3"/>
  <c r="T41" i="3" s="1"/>
  <c r="AK42" i="3" s="1"/>
  <c r="L7" i="3"/>
  <c r="U7" i="3" s="1"/>
  <c r="AE16" i="13"/>
  <c r="V16" i="13" s="1"/>
  <c r="AC21" i="9"/>
  <c r="AG21" i="9" s="1"/>
  <c r="L16" i="9"/>
  <c r="AE37" i="14"/>
  <c r="V37" i="14" s="1"/>
  <c r="AE16" i="10"/>
  <c r="V16" i="10" s="1"/>
  <c r="AC15" i="10"/>
  <c r="AG15" i="10" s="1"/>
  <c r="AC24" i="6"/>
  <c r="AG24" i="6" s="1"/>
  <c r="AE32" i="12"/>
  <c r="V32" i="12" s="1"/>
  <c r="AK24" i="9"/>
  <c r="AK17" i="9"/>
  <c r="L36" i="3"/>
  <c r="AK36" i="3" s="1"/>
  <c r="AE20" i="14"/>
  <c r="V20" i="14" s="1"/>
  <c r="L34" i="10"/>
  <c r="AK34" i="10" s="1"/>
  <c r="AF36" i="14"/>
  <c r="W36" i="14" s="1"/>
  <c r="L19" i="4"/>
  <c r="AJ19" i="4" s="1"/>
  <c r="AP47" i="13"/>
  <c r="AF8" i="12"/>
  <c r="W8" i="12" s="1"/>
  <c r="AT38" i="13"/>
  <c r="AU38" i="13" s="1"/>
  <c r="AF34" i="5"/>
  <c r="W34" i="5" s="1"/>
  <c r="AC20" i="14"/>
  <c r="AG20" i="14" s="1"/>
  <c r="AC12" i="14"/>
  <c r="AG12" i="14" s="1"/>
  <c r="AT38" i="6"/>
  <c r="AU38" i="6" s="1"/>
  <c r="L9" i="6"/>
  <c r="AK9" i="6" s="1"/>
  <c r="L33" i="4"/>
  <c r="AJ33" i="4" s="1"/>
  <c r="AC32" i="14"/>
  <c r="AG32" i="14" s="1"/>
  <c r="M47" i="14"/>
  <c r="U47" i="14" s="1"/>
  <c r="M46" i="14"/>
  <c r="U46" i="14" s="1"/>
  <c r="M45" i="14"/>
  <c r="U45" i="14" s="1"/>
  <c r="M45" i="13"/>
  <c r="U45" i="13" s="1"/>
  <c r="M46" i="13"/>
  <c r="U46" i="13" s="1"/>
  <c r="M44" i="13"/>
  <c r="U44" i="13" s="1"/>
  <c r="M47" i="13"/>
  <c r="U47" i="13" s="1"/>
  <c r="AC9" i="12"/>
  <c r="AG9" i="12" s="1"/>
  <c r="AT38" i="11"/>
  <c r="M47" i="10"/>
  <c r="U47" i="10" s="1"/>
  <c r="AC35" i="10"/>
  <c r="AG35" i="10" s="1"/>
  <c r="M48" i="10"/>
  <c r="U48" i="10" s="1"/>
  <c r="M46" i="10"/>
  <c r="U46" i="10" s="1"/>
  <c r="M45" i="10"/>
  <c r="U45" i="10" s="1"/>
  <c r="M45" i="9"/>
  <c r="U45" i="9" s="1"/>
  <c r="M48" i="9"/>
  <c r="U48" i="9" s="1"/>
  <c r="M46" i="9"/>
  <c r="U46" i="9" s="1"/>
  <c r="M47" i="9"/>
  <c r="U47" i="9" s="1"/>
  <c r="AT38" i="8"/>
  <c r="AU38" i="8" s="1"/>
  <c r="M46" i="8"/>
  <c r="U46" i="8" s="1"/>
  <c r="M45" i="8"/>
  <c r="U45" i="8" s="1"/>
  <c r="M47" i="8"/>
  <c r="U47" i="8" s="1"/>
  <c r="L23" i="6"/>
  <c r="AK23" i="6" s="1"/>
  <c r="AE24" i="6"/>
  <c r="V24" i="6" s="1"/>
  <c r="M47" i="5"/>
  <c r="U47" i="5" s="1"/>
  <c r="M46" i="5"/>
  <c r="U46" i="5" s="1"/>
  <c r="M45" i="5"/>
  <c r="U45" i="5" s="1"/>
  <c r="M48" i="5"/>
  <c r="U48" i="5" s="1"/>
  <c r="M46" i="3"/>
  <c r="U46" i="3" s="1"/>
  <c r="M45" i="3"/>
  <c r="U45" i="3" s="1"/>
  <c r="M48" i="3"/>
  <c r="U48" i="3" s="1"/>
  <c r="AE25" i="13"/>
  <c r="V25" i="13" s="1"/>
  <c r="AK34" i="13"/>
  <c r="L33" i="13"/>
  <c r="AK33" i="13" s="1"/>
  <c r="AE36" i="13"/>
  <c r="V36" i="13" s="1"/>
  <c r="AK20" i="13"/>
  <c r="L19" i="13"/>
  <c r="AK19" i="13" s="1"/>
  <c r="M48" i="12"/>
  <c r="U48" i="12" s="1"/>
  <c r="M46" i="12"/>
  <c r="U46" i="12" s="1"/>
  <c r="AC31" i="12"/>
  <c r="AG31" i="12" s="1"/>
  <c r="L24" i="11"/>
  <c r="AK24" i="11" s="1"/>
  <c r="M45" i="11"/>
  <c r="U45" i="11" s="1"/>
  <c r="M44" i="11"/>
  <c r="U44" i="11" s="1"/>
  <c r="AU38" i="11"/>
  <c r="L10" i="11"/>
  <c r="AK10" i="11" s="1"/>
  <c r="L31" i="11"/>
  <c r="AK31" i="11" s="1"/>
  <c r="L17" i="11"/>
  <c r="AK17" i="11" s="1"/>
  <c r="AT38" i="10"/>
  <c r="AM38" i="10" s="1"/>
  <c r="AM39" i="10" s="1"/>
  <c r="U50" i="10" s="1"/>
  <c r="AC20" i="10"/>
  <c r="AG20" i="10" s="1"/>
  <c r="AF19" i="10"/>
  <c r="W19" i="10" s="1"/>
  <c r="AF32" i="10"/>
  <c r="W32" i="10" s="1"/>
  <c r="AC7" i="10"/>
  <c r="AG7" i="10" s="1"/>
  <c r="AF25" i="10"/>
  <c r="W25" i="10" s="1"/>
  <c r="AK42" i="10"/>
  <c r="L37" i="9"/>
  <c r="AK37" i="9" s="1"/>
  <c r="AK10" i="9"/>
  <c r="L9" i="9"/>
  <c r="AK9" i="9" s="1"/>
  <c r="AP48" i="9"/>
  <c r="AR48" i="9" s="1"/>
  <c r="L23" i="9"/>
  <c r="AK23" i="9" s="1"/>
  <c r="AC20" i="9"/>
  <c r="AG20" i="9" s="1"/>
  <c r="AC12" i="9"/>
  <c r="AG12" i="9" s="1"/>
  <c r="AC33" i="8"/>
  <c r="AG33" i="8" s="1"/>
  <c r="L25" i="8"/>
  <c r="AK25" i="8" s="1"/>
  <c r="L18" i="8"/>
  <c r="AK18" i="8" s="1"/>
  <c r="M48" i="7"/>
  <c r="U48" i="7" s="1"/>
  <c r="M45" i="7"/>
  <c r="U45" i="7" s="1"/>
  <c r="M47" i="7"/>
  <c r="U47" i="7" s="1"/>
  <c r="M46" i="7"/>
  <c r="U46" i="7" s="1"/>
  <c r="M46" i="6"/>
  <c r="U46" i="6" s="1"/>
  <c r="M45" i="6"/>
  <c r="U45" i="6" s="1"/>
  <c r="M44" i="6"/>
  <c r="U44" i="6" s="1"/>
  <c r="M47" i="6"/>
  <c r="U47" i="6" s="1"/>
  <c r="U35" i="7"/>
  <c r="AJ35" i="7" s="1"/>
  <c r="AP48" i="7"/>
  <c r="AR48" i="7" s="1"/>
  <c r="AC33" i="14"/>
  <c r="AG33" i="14" s="1"/>
  <c r="AF18" i="14"/>
  <c r="W18" i="14" s="1"/>
  <c r="L10" i="14"/>
  <c r="AK10" i="14" s="1"/>
  <c r="AF9" i="14"/>
  <c r="W9" i="14" s="1"/>
  <c r="AE24" i="14"/>
  <c r="V24" i="14" s="1"/>
  <c r="AE18" i="14"/>
  <c r="V18" i="14" s="1"/>
  <c r="AE17" i="14"/>
  <c r="V17" i="14" s="1"/>
  <c r="L31" i="14"/>
  <c r="U31" i="14" s="1"/>
  <c r="AK25" i="14"/>
  <c r="L24" i="14"/>
  <c r="AK24" i="14" s="1"/>
  <c r="AK18" i="14"/>
  <c r="L17" i="14"/>
  <c r="AK17" i="14" s="1"/>
  <c r="AK11" i="14"/>
  <c r="AK13" i="13"/>
  <c r="L12" i="13"/>
  <c r="AK12" i="13" s="1"/>
  <c r="AK27" i="13"/>
  <c r="AC32" i="13"/>
  <c r="AG32" i="13" s="1"/>
  <c r="AE28" i="13"/>
  <c r="V28" i="13" s="1"/>
  <c r="L26" i="13"/>
  <c r="AK26" i="13" s="1"/>
  <c r="AF24" i="13"/>
  <c r="W24" i="13" s="1"/>
  <c r="AC23" i="13"/>
  <c r="AG23" i="13" s="1"/>
  <c r="L36" i="12"/>
  <c r="AK36" i="12" s="1"/>
  <c r="AC19" i="12"/>
  <c r="AG19" i="12" s="1"/>
  <c r="AE15" i="12"/>
  <c r="V15" i="12" s="1"/>
  <c r="AC11" i="12"/>
  <c r="AG11" i="12" s="1"/>
  <c r="AF33" i="12"/>
  <c r="W33" i="12" s="1"/>
  <c r="L29" i="12"/>
  <c r="AK29" i="12" s="1"/>
  <c r="AC35" i="12"/>
  <c r="AG35" i="12" s="1"/>
  <c r="L22" i="12"/>
  <c r="AK22" i="12" s="1"/>
  <c r="L15" i="12"/>
  <c r="AK15" i="12" s="1"/>
  <c r="AF20" i="12"/>
  <c r="W20" i="12" s="1"/>
  <c r="L8" i="12"/>
  <c r="AK8" i="12" s="1"/>
  <c r="AK28" i="10"/>
  <c r="L27" i="10"/>
  <c r="AK27" i="10" s="1"/>
  <c r="L13" i="10"/>
  <c r="AK13" i="10" s="1"/>
  <c r="L20" i="10"/>
  <c r="AK20" i="10" s="1"/>
  <c r="AK14" i="10"/>
  <c r="AE8" i="10"/>
  <c r="V8" i="10" s="1"/>
  <c r="AF34" i="9"/>
  <c r="W34" i="9" s="1"/>
  <c r="AC32" i="9"/>
  <c r="AG32" i="9" s="1"/>
  <c r="AC36" i="9"/>
  <c r="AG36" i="9" s="1"/>
  <c r="L30" i="9"/>
  <c r="AE25" i="9"/>
  <c r="V25" i="9" s="1"/>
  <c r="AE21" i="9"/>
  <c r="V21" i="9" s="1"/>
  <c r="L11" i="8"/>
  <c r="AK11" i="8" s="1"/>
  <c r="L32" i="8"/>
  <c r="AK32" i="8" s="1"/>
  <c r="AC18" i="7"/>
  <c r="AG18" i="7" s="1"/>
  <c r="AE10" i="7"/>
  <c r="V10" i="7" s="1"/>
  <c r="AJ36" i="7"/>
  <c r="AJ29" i="7"/>
  <c r="AJ22" i="7"/>
  <c r="AJ8" i="7"/>
  <c r="L30" i="6"/>
  <c r="AK30" i="6" s="1"/>
  <c r="L26" i="5"/>
  <c r="AK26" i="5" s="1"/>
  <c r="L33" i="5"/>
  <c r="AK33" i="5" s="1"/>
  <c r="L19" i="5"/>
  <c r="AK19" i="5" s="1"/>
  <c r="L12" i="5"/>
  <c r="AK12" i="5" s="1"/>
  <c r="L26" i="4"/>
  <c r="AJ26" i="4" s="1"/>
  <c r="AK16" i="3"/>
  <c r="AK23" i="3"/>
  <c r="L29" i="3"/>
  <c r="AK29" i="3" s="1"/>
  <c r="AK32" i="14"/>
  <c r="AK37" i="12"/>
  <c r="AK16" i="12"/>
  <c r="AK9" i="12"/>
  <c r="AC27" i="12"/>
  <c r="AG27" i="12" s="1"/>
  <c r="AK23" i="12"/>
  <c r="AE7" i="12"/>
  <c r="V7" i="12" s="1"/>
  <c r="AC23" i="12"/>
  <c r="AG23" i="12" s="1"/>
  <c r="U7" i="7"/>
  <c r="L16" i="6"/>
  <c r="U16" i="6" s="1"/>
  <c r="AJ16" i="6" s="1"/>
  <c r="AF16" i="6"/>
  <c r="W16" i="6" s="1"/>
  <c r="L15" i="3"/>
  <c r="AK15" i="3" s="1"/>
  <c r="L22" i="3"/>
  <c r="AK22" i="3" s="1"/>
  <c r="L12" i="4"/>
  <c r="AJ12" i="4" s="1"/>
  <c r="AK13" i="5"/>
  <c r="L8" i="3"/>
  <c r="AE33" i="8"/>
  <c r="V33" i="8" s="1"/>
  <c r="AF9" i="8"/>
  <c r="W9" i="8" s="1"/>
  <c r="AC32" i="6"/>
  <c r="AG32" i="6" s="1"/>
  <c r="AE25" i="6"/>
  <c r="V25" i="6" s="1"/>
  <c r="AE31" i="5"/>
  <c r="V31" i="5" s="1"/>
  <c r="AK37" i="3"/>
  <c r="AK10" i="6"/>
  <c r="AE21" i="11"/>
  <c r="V21" i="11" s="1"/>
  <c r="AK18" i="11"/>
  <c r="AK32" i="11"/>
  <c r="AK11" i="11"/>
  <c r="AK25" i="11"/>
  <c r="AK12" i="14"/>
  <c r="AK36" i="5"/>
  <c r="AK23" i="5"/>
  <c r="AK37" i="7"/>
  <c r="AK20" i="5"/>
  <c r="AE12" i="8"/>
  <c r="V12" i="8" s="1"/>
  <c r="AF34" i="6"/>
  <c r="W34" i="6" s="1"/>
  <c r="AC21" i="6"/>
  <c r="AG21" i="6" s="1"/>
  <c r="AC12" i="6"/>
  <c r="AG12" i="6" s="1"/>
  <c r="AK34" i="5"/>
  <c r="AC18" i="8"/>
  <c r="AG18" i="8" s="1"/>
  <c r="AK33" i="8"/>
  <c r="AK35" i="13"/>
  <c r="AK9" i="7"/>
  <c r="AK18" i="3"/>
  <c r="AK34" i="4"/>
  <c r="AK31" i="6"/>
  <c r="AK31" i="9"/>
  <c r="AK26" i="8"/>
  <c r="AK19" i="8"/>
  <c r="AK12" i="8"/>
  <c r="AK27" i="5"/>
  <c r="AK30" i="3"/>
  <c r="AK13" i="4"/>
  <c r="AK35" i="10"/>
  <c r="AK30" i="12"/>
  <c r="AK17" i="6"/>
  <c r="AK27" i="4"/>
  <c r="AK20" i="4"/>
  <c r="AE37" i="7"/>
  <c r="V37" i="7" s="1"/>
  <c r="AF25" i="6"/>
  <c r="W25" i="6" s="1"/>
  <c r="AC20" i="6"/>
  <c r="AG20" i="6" s="1"/>
  <c r="AE12" i="6"/>
  <c r="V12" i="6" s="1"/>
  <c r="AF26" i="5"/>
  <c r="W26" i="5" s="1"/>
  <c r="AC7" i="5"/>
  <c r="AG7" i="5" s="1"/>
  <c r="AE14" i="3"/>
  <c r="V14" i="3" s="1"/>
  <c r="AF31" i="3"/>
  <c r="W31" i="3" s="1"/>
  <c r="AF7" i="8"/>
  <c r="W7" i="8" s="1"/>
  <c r="AC36" i="8"/>
  <c r="AG36" i="8" s="1"/>
  <c r="AC22" i="8"/>
  <c r="AG22" i="8" s="1"/>
  <c r="AF33" i="6"/>
  <c r="W33" i="6" s="1"/>
  <c r="AE35" i="5"/>
  <c r="V35" i="5" s="1"/>
  <c r="AE16" i="5"/>
  <c r="V16" i="5" s="1"/>
  <c r="AE11" i="11"/>
  <c r="V11" i="11" s="1"/>
  <c r="AC19" i="11"/>
  <c r="AG19" i="11" s="1"/>
  <c r="AE35" i="7"/>
  <c r="V35" i="7" s="1"/>
  <c r="AE30" i="7"/>
  <c r="V30" i="7" s="1"/>
  <c r="AW14" i="6"/>
  <c r="AW15" i="6" s="1"/>
  <c r="AC30" i="7"/>
  <c r="AG30" i="7" s="1"/>
  <c r="AC21" i="7"/>
  <c r="AG21" i="7" s="1"/>
  <c r="AE34" i="7"/>
  <c r="V34" i="7" s="1"/>
  <c r="AF33" i="7"/>
  <c r="W33" i="7" s="1"/>
  <c r="AK36" i="10"/>
  <c r="AK24" i="12"/>
  <c r="AK15" i="13"/>
  <c r="AK19" i="11"/>
  <c r="AK12" i="11"/>
  <c r="AK28" i="13"/>
  <c r="AK23" i="13"/>
  <c r="AK14" i="13"/>
  <c r="AK32" i="9"/>
  <c r="AK33" i="11"/>
  <c r="AK26" i="11"/>
  <c r="AK31" i="12"/>
  <c r="AK17" i="12"/>
  <c r="AK10" i="12"/>
  <c r="AK10" i="3"/>
  <c r="AK18" i="6"/>
  <c r="AK23" i="7"/>
  <c r="AK16" i="7"/>
  <c r="AK35" i="5"/>
  <c r="AK21" i="5"/>
  <c r="AK14" i="5"/>
  <c r="AK27" i="8"/>
  <c r="AK13" i="8"/>
  <c r="AK32" i="3"/>
  <c r="AK17" i="3"/>
  <c r="AK34" i="8"/>
  <c r="AK20" i="8"/>
  <c r="AK11" i="9"/>
  <c r="AK25" i="3"/>
  <c r="AK23" i="10"/>
  <c r="AK17" i="10"/>
  <c r="AK8" i="10"/>
  <c r="AK28" i="5"/>
  <c r="AK18" i="9"/>
  <c r="AK31" i="3"/>
  <c r="AK24" i="3"/>
  <c r="AK26" i="14"/>
  <c r="AK19" i="14"/>
  <c r="AK29" i="10"/>
  <c r="AK22" i="10"/>
  <c r="AK15" i="10"/>
  <c r="AK25" i="9"/>
  <c r="AK11" i="3"/>
  <c r="AK25" i="6"/>
  <c r="AJ21" i="13"/>
  <c r="AF8" i="4"/>
  <c r="W8" i="4" s="1"/>
  <c r="AE12" i="5"/>
  <c r="V12" i="5" s="1"/>
  <c r="AE11" i="6"/>
  <c r="V11" i="6" s="1"/>
  <c r="AC18" i="6"/>
  <c r="AG18" i="6" s="1"/>
  <c r="AE9" i="6"/>
  <c r="V9" i="6" s="1"/>
  <c r="AC35" i="6"/>
  <c r="AG35" i="6" s="1"/>
  <c r="AT38" i="7"/>
  <c r="AU38" i="7" s="1"/>
  <c r="M54" i="7" s="1"/>
  <c r="AC23" i="7"/>
  <c r="AG23" i="7" s="1"/>
  <c r="AC8" i="7"/>
  <c r="AG8" i="7" s="1"/>
  <c r="AE29" i="7"/>
  <c r="V29" i="7" s="1"/>
  <c r="AE22" i="7"/>
  <c r="V22" i="7" s="1"/>
  <c r="AE16" i="7"/>
  <c r="V16" i="7" s="1"/>
  <c r="AJ30" i="7"/>
  <c r="AF23" i="7"/>
  <c r="W23" i="7" s="1"/>
  <c r="AE9" i="7"/>
  <c r="V9" i="7" s="1"/>
  <c r="AC9" i="7"/>
  <c r="AG9" i="7" s="1"/>
  <c r="AE27" i="8"/>
  <c r="V27" i="8" s="1"/>
  <c r="AF26" i="8"/>
  <c r="W26" i="8" s="1"/>
  <c r="AE11" i="8"/>
  <c r="V11" i="8" s="1"/>
  <c r="AF29" i="9"/>
  <c r="W29" i="9" s="1"/>
  <c r="AC16" i="9"/>
  <c r="AG16" i="9" s="1"/>
  <c r="AF25" i="9"/>
  <c r="W25" i="9" s="1"/>
  <c r="AC27" i="9"/>
  <c r="AG27" i="9" s="1"/>
  <c r="AE36" i="10"/>
  <c r="V36" i="10" s="1"/>
  <c r="AC32" i="10"/>
  <c r="AG32" i="10" s="1"/>
  <c r="AC31" i="10"/>
  <c r="AG31" i="10" s="1"/>
  <c r="AC17" i="10"/>
  <c r="AG17" i="10" s="1"/>
  <c r="AF16" i="10"/>
  <c r="W16" i="10" s="1"/>
  <c r="AC22" i="10"/>
  <c r="AG22" i="10" s="1"/>
  <c r="AC16" i="10"/>
  <c r="AG16" i="10" s="1"/>
  <c r="AF12" i="10"/>
  <c r="W12" i="10" s="1"/>
  <c r="AE8" i="11"/>
  <c r="V8" i="11" s="1"/>
  <c r="AE25" i="11"/>
  <c r="V25" i="11" s="1"/>
  <c r="AF15" i="11"/>
  <c r="W15" i="11" s="1"/>
  <c r="AC9" i="11"/>
  <c r="AG9" i="11" s="1"/>
  <c r="AF8" i="11"/>
  <c r="W8" i="11" s="1"/>
  <c r="AF37" i="12"/>
  <c r="W37" i="12" s="1"/>
  <c r="AF7" i="12"/>
  <c r="W7" i="12" s="1"/>
  <c r="AF36" i="12"/>
  <c r="W36" i="12" s="1"/>
  <c r="AE20" i="12"/>
  <c r="V20" i="12" s="1"/>
  <c r="AC10" i="12"/>
  <c r="AG10" i="12" s="1"/>
  <c r="AE34" i="12"/>
  <c r="V34" i="12" s="1"/>
  <c r="AF22" i="12"/>
  <c r="W22" i="12" s="1"/>
  <c r="AF12" i="14"/>
  <c r="W12" i="14" s="1"/>
  <c r="AE8" i="13"/>
  <c r="V8" i="13" s="1"/>
  <c r="AF8" i="13"/>
  <c r="W8" i="13" s="1"/>
  <c r="AE7" i="13"/>
  <c r="V7" i="13" s="1"/>
  <c r="AC7" i="13"/>
  <c r="AG7" i="13" s="1"/>
  <c r="AJ7" i="13"/>
  <c r="AC18" i="13"/>
  <c r="AG18" i="13" s="1"/>
  <c r="AE7" i="10"/>
  <c r="V7" i="10" s="1"/>
  <c r="AE35" i="10"/>
  <c r="V35" i="10" s="1"/>
  <c r="AF20" i="10"/>
  <c r="W20" i="10" s="1"/>
  <c r="AC37" i="9"/>
  <c r="AG37" i="9" s="1"/>
  <c r="AC30" i="9"/>
  <c r="AG30" i="9" s="1"/>
  <c r="AE8" i="7"/>
  <c r="V8" i="7" s="1"/>
  <c r="AC33" i="4"/>
  <c r="AG33" i="4" s="1"/>
  <c r="AF11" i="13"/>
  <c r="W11" i="13" s="1"/>
  <c r="AE32" i="13"/>
  <c r="V32" i="13" s="1"/>
  <c r="AC31" i="13"/>
  <c r="AG31" i="13" s="1"/>
  <c r="AE23" i="13"/>
  <c r="V23" i="13" s="1"/>
  <c r="AC7" i="12"/>
  <c r="AG7" i="12" s="1"/>
  <c r="AF31" i="12"/>
  <c r="W31" i="12" s="1"/>
  <c r="AF27" i="12"/>
  <c r="W27" i="12" s="1"/>
  <c r="AF33" i="11"/>
  <c r="W33" i="11" s="1"/>
  <c r="AE26" i="11"/>
  <c r="V26" i="11" s="1"/>
  <c r="AE30" i="11"/>
  <c r="V30" i="11" s="1"/>
  <c r="AF29" i="11"/>
  <c r="W29" i="11" s="1"/>
  <c r="AE13" i="11"/>
  <c r="V13" i="11" s="1"/>
  <c r="AE31" i="10"/>
  <c r="V31" i="10" s="1"/>
  <c r="AE11" i="10"/>
  <c r="V11" i="10" s="1"/>
  <c r="AC10" i="10"/>
  <c r="AG10" i="10" s="1"/>
  <c r="AF36" i="8"/>
  <c r="W36" i="8" s="1"/>
  <c r="AF10" i="8"/>
  <c r="W10" i="8" s="1"/>
  <c r="AC28" i="8"/>
  <c r="AG28" i="8" s="1"/>
  <c r="AE29" i="8"/>
  <c r="V29" i="8" s="1"/>
  <c r="AF23" i="8"/>
  <c r="W23" i="8" s="1"/>
  <c r="AC16" i="8"/>
  <c r="AG16" i="8" s="1"/>
  <c r="AE15" i="8"/>
  <c r="V15" i="8" s="1"/>
  <c r="AC34" i="7"/>
  <c r="AG34" i="7" s="1"/>
  <c r="AC33" i="7"/>
  <c r="AG33" i="7" s="1"/>
  <c r="AE23" i="7"/>
  <c r="V23" i="7" s="1"/>
  <c r="AF12" i="7"/>
  <c r="W12" i="7" s="1"/>
  <c r="AF11" i="7"/>
  <c r="W11" i="7" s="1"/>
  <c r="AF26" i="6"/>
  <c r="W26" i="6" s="1"/>
  <c r="AE20" i="6"/>
  <c r="V20" i="6" s="1"/>
  <c r="AE36" i="5"/>
  <c r="V36" i="5" s="1"/>
  <c r="AE24" i="5"/>
  <c r="V24" i="5" s="1"/>
  <c r="AC17" i="5"/>
  <c r="AG17" i="5" s="1"/>
  <c r="AE7" i="5"/>
  <c r="V7" i="5" s="1"/>
  <c r="AE8" i="5"/>
  <c r="V8" i="5" s="1"/>
  <c r="AC25" i="4"/>
  <c r="AG25" i="4" s="1"/>
  <c r="AE19" i="7"/>
  <c r="V19" i="7" s="1"/>
  <c r="AF31" i="4"/>
  <c r="W31" i="4" s="1"/>
  <c r="AF25" i="4"/>
  <c r="W25" i="4" s="1"/>
  <c r="AC14" i="3"/>
  <c r="AG14" i="3" s="1"/>
  <c r="AF36" i="3"/>
  <c r="W36" i="3" s="1"/>
  <c r="AE24" i="13"/>
  <c r="V24" i="13" s="1"/>
  <c r="AE22" i="12"/>
  <c r="V22" i="12" s="1"/>
  <c r="AC36" i="11"/>
  <c r="AG36" i="11" s="1"/>
  <c r="AF17" i="11"/>
  <c r="W17" i="11" s="1"/>
  <c r="AC36" i="7"/>
  <c r="AG36" i="7" s="1"/>
  <c r="AF20" i="14"/>
  <c r="W20" i="14" s="1"/>
  <c r="AE16" i="8"/>
  <c r="V16" i="8" s="1"/>
  <c r="AC12" i="8"/>
  <c r="AG12" i="8" s="1"/>
  <c r="AE30" i="9"/>
  <c r="V30" i="9" s="1"/>
  <c r="AC8" i="13"/>
  <c r="AG8" i="13" s="1"/>
  <c r="AF32" i="11"/>
  <c r="W32" i="11" s="1"/>
  <c r="AC22" i="11"/>
  <c r="AG22" i="11" s="1"/>
  <c r="AF20" i="11"/>
  <c r="W20" i="11" s="1"/>
  <c r="AF19" i="11"/>
  <c r="W19" i="11" s="1"/>
  <c r="AC18" i="12"/>
  <c r="AG18" i="12" s="1"/>
  <c r="AF16" i="12"/>
  <c r="W16" i="12" s="1"/>
  <c r="AF14" i="12"/>
  <c r="W14" i="12" s="1"/>
  <c r="AF21" i="13"/>
  <c r="W21" i="13" s="1"/>
  <c r="AE17" i="13"/>
  <c r="V17" i="13" s="1"/>
  <c r="AF9" i="13"/>
  <c r="W9" i="13" s="1"/>
  <c r="AE18" i="7"/>
  <c r="V18" i="7" s="1"/>
  <c r="AE32" i="8"/>
  <c r="V32" i="8" s="1"/>
  <c r="AC29" i="8"/>
  <c r="AG29" i="8" s="1"/>
  <c r="AC17" i="8"/>
  <c r="AG17" i="8" s="1"/>
  <c r="AF20" i="3"/>
  <c r="W20" i="3" s="1"/>
  <c r="AE7" i="4"/>
  <c r="V7" i="4" s="1"/>
  <c r="AF29" i="14"/>
  <c r="W29" i="14" s="1"/>
  <c r="AE16" i="14"/>
  <c r="V16" i="14" s="1"/>
  <c r="AE9" i="14"/>
  <c r="V9" i="14" s="1"/>
  <c r="AE27" i="10"/>
  <c r="V27" i="10" s="1"/>
  <c r="AE18" i="10"/>
  <c r="V18" i="10" s="1"/>
  <c r="AE36" i="8"/>
  <c r="V36" i="8" s="1"/>
  <c r="AF17" i="12"/>
  <c r="W17" i="12" s="1"/>
  <c r="AE29" i="11"/>
  <c r="V29" i="11" s="1"/>
  <c r="AF27" i="11"/>
  <c r="W27" i="11" s="1"/>
  <c r="AC24" i="11"/>
  <c r="AG24" i="11" s="1"/>
  <c r="AF22" i="11"/>
  <c r="W22" i="11" s="1"/>
  <c r="AC20" i="12"/>
  <c r="AG20" i="12" s="1"/>
  <c r="AF18" i="12"/>
  <c r="W18" i="12" s="1"/>
  <c r="AE12" i="12"/>
  <c r="V12" i="12" s="1"/>
  <c r="AC31" i="7"/>
  <c r="AG31" i="7" s="1"/>
  <c r="AC26" i="7"/>
  <c r="AG26" i="7" s="1"/>
  <c r="AE25" i="7"/>
  <c r="V25" i="7" s="1"/>
  <c r="AC22" i="7"/>
  <c r="AG22" i="7" s="1"/>
  <c r="AE21" i="7"/>
  <c r="V21" i="7" s="1"/>
  <c r="AE15" i="7"/>
  <c r="V15" i="7" s="1"/>
  <c r="AC35" i="5"/>
  <c r="AG35" i="5" s="1"/>
  <c r="AF34" i="8"/>
  <c r="W34" i="8" s="1"/>
  <c r="AE23" i="8"/>
  <c r="V23" i="8" s="1"/>
  <c r="AE18" i="8"/>
  <c r="V18" i="8" s="1"/>
  <c r="AC10" i="8"/>
  <c r="AG10" i="8" s="1"/>
  <c r="AF21" i="9"/>
  <c r="W21" i="9" s="1"/>
  <c r="AE13" i="9"/>
  <c r="V13" i="9" s="1"/>
  <c r="AT38" i="9"/>
  <c r="AU38" i="9" s="1"/>
  <c r="M54" i="9" s="1"/>
  <c r="AC13" i="4"/>
  <c r="AG13" i="4" s="1"/>
  <c r="AE34" i="14"/>
  <c r="V34" i="14" s="1"/>
  <c r="AC21" i="14"/>
  <c r="AG21" i="14" s="1"/>
  <c r="AC12" i="10"/>
  <c r="AG12" i="10" s="1"/>
  <c r="AC11" i="10"/>
  <c r="AG11" i="10" s="1"/>
  <c r="AF9" i="10"/>
  <c r="W9" i="10" s="1"/>
  <c r="AC33" i="6"/>
  <c r="AG33" i="6" s="1"/>
  <c r="AC27" i="6"/>
  <c r="AG27" i="6" s="1"/>
  <c r="AC23" i="6"/>
  <c r="AG23" i="6" s="1"/>
  <c r="AF17" i="9"/>
  <c r="W17" i="9" s="1"/>
  <c r="AF30" i="3"/>
  <c r="W30" i="3" s="1"/>
  <c r="AF22" i="3"/>
  <c r="W22" i="3" s="1"/>
  <c r="AC34" i="10"/>
  <c r="AG34" i="10" s="1"/>
  <c r="AE17" i="10"/>
  <c r="V17" i="10" s="1"/>
  <c r="AE30" i="6"/>
  <c r="V30" i="6" s="1"/>
  <c r="AC15" i="6"/>
  <c r="AG15" i="6" s="1"/>
  <c r="AK19" i="9"/>
  <c r="AK35" i="11"/>
  <c r="AK18" i="12"/>
  <c r="AK29" i="13"/>
  <c r="AK27" i="14"/>
  <c r="AK20" i="14"/>
  <c r="AK9" i="10"/>
  <c r="AK28" i="14"/>
  <c r="AK37" i="10"/>
  <c r="AK25" i="7"/>
  <c r="AK34" i="14"/>
  <c r="AK32" i="12"/>
  <c r="AK26" i="12"/>
  <c r="AK36" i="13"/>
  <c r="AK33" i="9"/>
  <c r="AK26" i="9"/>
  <c r="AK35" i="8"/>
  <c r="AK34" i="11"/>
  <c r="AJ32" i="7"/>
  <c r="AK15" i="8"/>
  <c r="AK14" i="8"/>
  <c r="AK8" i="8"/>
  <c r="AK22" i="5"/>
  <c r="AK28" i="8"/>
  <c r="AK27" i="11"/>
  <c r="AK14" i="11"/>
  <c r="AK21" i="8"/>
  <c r="AK33" i="3"/>
  <c r="AK13" i="11"/>
  <c r="AK31" i="7"/>
  <c r="AK12" i="9"/>
  <c r="AK26" i="3"/>
  <c r="AK35" i="14"/>
  <c r="AK20" i="11"/>
  <c r="AK9" i="13"/>
  <c r="AK18" i="7"/>
  <c r="AK10" i="7"/>
  <c r="AK14" i="14"/>
  <c r="AK13" i="14"/>
  <c r="AC22" i="3"/>
  <c r="AG22" i="3" s="1"/>
  <c r="AC34" i="4"/>
  <c r="AG34" i="4" s="1"/>
  <c r="AC13" i="3"/>
  <c r="AG13" i="3" s="1"/>
  <c r="AK33" i="6"/>
  <c r="AK27" i="6"/>
  <c r="AK30" i="5"/>
  <c r="AK29" i="5"/>
  <c r="AK15" i="5"/>
  <c r="AK8" i="5"/>
  <c r="AK16" i="4"/>
  <c r="AJ12" i="3"/>
  <c r="AK19" i="3"/>
  <c r="AF32" i="14"/>
  <c r="W32" i="14" s="1"/>
  <c r="AC28" i="14"/>
  <c r="AG28" i="14" s="1"/>
  <c r="AF19" i="14"/>
  <c r="W19" i="14" s="1"/>
  <c r="AE28" i="14"/>
  <c r="V28" i="14" s="1"/>
  <c r="AE15" i="14"/>
  <c r="V15" i="14" s="1"/>
  <c r="AE13" i="14"/>
  <c r="V13" i="14" s="1"/>
  <c r="AF17" i="14"/>
  <c r="W17" i="14" s="1"/>
  <c r="AF7" i="13"/>
  <c r="W7" i="13" s="1"/>
  <c r="AE9" i="13"/>
  <c r="V9" i="13" s="1"/>
  <c r="AF22" i="13"/>
  <c r="W22" i="13" s="1"/>
  <c r="AE31" i="13"/>
  <c r="V31" i="13" s="1"/>
  <c r="AF10" i="13"/>
  <c r="W10" i="13" s="1"/>
  <c r="AC37" i="12"/>
  <c r="AG37" i="12" s="1"/>
  <c r="AF30" i="12"/>
  <c r="W30" i="12" s="1"/>
  <c r="AE27" i="12"/>
  <c r="V27" i="12" s="1"/>
  <c r="AE25" i="12"/>
  <c r="V25" i="12" s="1"/>
  <c r="AC13" i="12"/>
  <c r="AG13" i="12" s="1"/>
  <c r="AE35" i="12"/>
  <c r="V35" i="12" s="1"/>
  <c r="AF34" i="12"/>
  <c r="W34" i="12" s="1"/>
  <c r="AC25" i="12"/>
  <c r="AG25" i="12" s="1"/>
  <c r="AC29" i="12"/>
  <c r="AG29" i="12" s="1"/>
  <c r="AF28" i="12"/>
  <c r="W28" i="12" s="1"/>
  <c r="AC34" i="12"/>
  <c r="AG34" i="12" s="1"/>
  <c r="AE23" i="12"/>
  <c r="V23" i="12" s="1"/>
  <c r="AE16" i="12"/>
  <c r="V16" i="12" s="1"/>
  <c r="AE37" i="12"/>
  <c r="V37" i="12" s="1"/>
  <c r="AE26" i="12"/>
  <c r="V26" i="12" s="1"/>
  <c r="AC15" i="12"/>
  <c r="AG15" i="12" s="1"/>
  <c r="AE33" i="11"/>
  <c r="V33" i="11" s="1"/>
  <c r="AF26" i="11"/>
  <c r="W26" i="11" s="1"/>
  <c r="AC26" i="11"/>
  <c r="AG26" i="11" s="1"/>
  <c r="AE12" i="11"/>
  <c r="V12" i="11" s="1"/>
  <c r="AF11" i="11"/>
  <c r="W11" i="11" s="1"/>
  <c r="AF37" i="10"/>
  <c r="W37" i="10" s="1"/>
  <c r="AC18" i="10"/>
  <c r="AG18" i="10" s="1"/>
  <c r="AF17" i="10"/>
  <c r="W17" i="10" s="1"/>
  <c r="AE25" i="10"/>
  <c r="V25" i="10" s="1"/>
  <c r="AF18" i="10"/>
  <c r="W18" i="10" s="1"/>
  <c r="AF13" i="9"/>
  <c r="W13" i="9" s="1"/>
  <c r="AE37" i="9"/>
  <c r="V37" i="9" s="1"/>
  <c r="AE16" i="9"/>
  <c r="V16" i="9" s="1"/>
  <c r="AE29" i="9"/>
  <c r="V29" i="9" s="1"/>
  <c r="AF20" i="9"/>
  <c r="W20" i="9" s="1"/>
  <c r="AC13" i="9"/>
  <c r="AG13" i="9" s="1"/>
  <c r="AC35" i="9"/>
  <c r="AG35" i="9" s="1"/>
  <c r="AF27" i="9"/>
  <c r="W27" i="9" s="1"/>
  <c r="AE22" i="9"/>
  <c r="V22" i="9" s="1"/>
  <c r="AC24" i="9"/>
  <c r="AG24" i="9" s="1"/>
  <c r="AE10" i="8"/>
  <c r="V10" i="8" s="1"/>
  <c r="AF30" i="8"/>
  <c r="W30" i="8" s="1"/>
  <c r="AE14" i="8"/>
  <c r="V14" i="8" s="1"/>
  <c r="AE9" i="8"/>
  <c r="V9" i="8" s="1"/>
  <c r="AE20" i="8"/>
  <c r="V20" i="8" s="1"/>
  <c r="AC8" i="8"/>
  <c r="AG8" i="8" s="1"/>
  <c r="AC19" i="8"/>
  <c r="AG19" i="8" s="1"/>
  <c r="AF12" i="8"/>
  <c r="W12" i="8" s="1"/>
  <c r="AC30" i="8"/>
  <c r="AG30" i="8" s="1"/>
  <c r="AC25" i="8"/>
  <c r="AG25" i="8" s="1"/>
  <c r="AC24" i="8"/>
  <c r="AG24" i="8" s="1"/>
  <c r="AC35" i="8"/>
  <c r="AG35" i="8" s="1"/>
  <c r="AE22" i="8"/>
  <c r="V22" i="8" s="1"/>
  <c r="AF15" i="8"/>
  <c r="W15" i="8" s="1"/>
  <c r="AF14" i="8"/>
  <c r="W14" i="8" s="1"/>
  <c r="AF8" i="7"/>
  <c r="W8" i="7" s="1"/>
  <c r="AF26" i="7"/>
  <c r="W26" i="7" s="1"/>
  <c r="AE33" i="7"/>
  <c r="V33" i="7" s="1"/>
  <c r="AF15" i="7"/>
  <c r="W15" i="7" s="1"/>
  <c r="AF21" i="7"/>
  <c r="W21" i="7" s="1"/>
  <c r="AE32" i="7"/>
  <c r="V32" i="7" s="1"/>
  <c r="AC13" i="7"/>
  <c r="AG13" i="7" s="1"/>
  <c r="AE11" i="7"/>
  <c r="V11" i="7" s="1"/>
  <c r="AF29" i="7"/>
  <c r="W29" i="7" s="1"/>
  <c r="AC12" i="7"/>
  <c r="AG12" i="7" s="1"/>
  <c r="AF9" i="7"/>
  <c r="W9" i="7" s="1"/>
  <c r="AF32" i="7"/>
  <c r="W32" i="7" s="1"/>
  <c r="AC16" i="6"/>
  <c r="AG16" i="6" s="1"/>
  <c r="AF7" i="6"/>
  <c r="W7" i="6" s="1"/>
  <c r="AE33" i="6"/>
  <c r="V33" i="6" s="1"/>
  <c r="AC29" i="6"/>
  <c r="AG29" i="6" s="1"/>
  <c r="AF32" i="6"/>
  <c r="W32" i="6" s="1"/>
  <c r="AF18" i="6"/>
  <c r="W18" i="6" s="1"/>
  <c r="AF10" i="6"/>
  <c r="W10" i="6" s="1"/>
  <c r="AF36" i="6"/>
  <c r="W36" i="6" s="1"/>
  <c r="AE32" i="6"/>
  <c r="V32" i="6" s="1"/>
  <c r="AF28" i="5"/>
  <c r="W28" i="5" s="1"/>
  <c r="AC34" i="5"/>
  <c r="AG34" i="5" s="1"/>
  <c r="AF10" i="5"/>
  <c r="W10" i="5" s="1"/>
  <c r="AE17" i="5"/>
  <c r="V17" i="5" s="1"/>
  <c r="AC35" i="3"/>
  <c r="AG35" i="3" s="1"/>
  <c r="AF19" i="3"/>
  <c r="W19" i="3" s="1"/>
  <c r="AC24" i="3"/>
  <c r="AG24" i="3" s="1"/>
  <c r="AC29" i="14"/>
  <c r="AG29" i="14" s="1"/>
  <c r="AF27" i="14"/>
  <c r="W27" i="14" s="1"/>
  <c r="AC27" i="14"/>
  <c r="AG27" i="14" s="1"/>
  <c r="AK22" i="14"/>
  <c r="AC23" i="14"/>
  <c r="AG23" i="14" s="1"/>
  <c r="AE21" i="14"/>
  <c r="V21" i="14" s="1"/>
  <c r="AF33" i="13"/>
  <c r="W33" i="13" s="1"/>
  <c r="AK22" i="13"/>
  <c r="AF23" i="13"/>
  <c r="W23" i="13" s="1"/>
  <c r="AE36" i="12"/>
  <c r="V36" i="12" s="1"/>
  <c r="AS38" i="12"/>
  <c r="S19" i="12"/>
  <c r="M47" i="12" s="1"/>
  <c r="U47" i="12" s="1"/>
  <c r="AC22" i="12"/>
  <c r="AG22" i="12" s="1"/>
  <c r="AR38" i="12"/>
  <c r="AP38" i="12"/>
  <c r="AB38" i="12"/>
  <c r="AB39" i="12" s="1"/>
  <c r="AB40" i="12" s="1"/>
  <c r="AF12" i="12"/>
  <c r="W12" i="12" s="1"/>
  <c r="AC12" i="12"/>
  <c r="AG12" i="12" s="1"/>
  <c r="AC38" i="12"/>
  <c r="AC39" i="12" s="1"/>
  <c r="AC40" i="12" s="1"/>
  <c r="AC8" i="12"/>
  <c r="AG8" i="12" s="1"/>
  <c r="AC34" i="11"/>
  <c r="AG34" i="11" s="1"/>
  <c r="AC29" i="11"/>
  <c r="AG29" i="11" s="1"/>
  <c r="AC30" i="11"/>
  <c r="AG30" i="11" s="1"/>
  <c r="AF28" i="11"/>
  <c r="W28" i="11" s="1"/>
  <c r="AE15" i="11"/>
  <c r="V15" i="11" s="1"/>
  <c r="AF14" i="11"/>
  <c r="W14" i="11" s="1"/>
  <c r="AC15" i="11"/>
  <c r="AG15" i="11" s="1"/>
  <c r="AC13" i="11"/>
  <c r="AG13" i="11" s="1"/>
  <c r="AE37" i="11"/>
  <c r="AE38" i="11" s="1"/>
  <c r="AE39" i="11" s="1"/>
  <c r="AC37" i="11"/>
  <c r="AC38" i="11" s="1"/>
  <c r="AC39" i="11" s="1"/>
  <c r="AE7" i="11"/>
  <c r="V7" i="11" s="1"/>
  <c r="AC7" i="11"/>
  <c r="AG7" i="11" s="1"/>
  <c r="AN38" i="11"/>
  <c r="H41" i="11" s="1"/>
  <c r="AE32" i="10"/>
  <c r="V32" i="10" s="1"/>
  <c r="AI38" i="10"/>
  <c r="AI39" i="10" s="1"/>
  <c r="AI40" i="10" s="1"/>
  <c r="AS38" i="10"/>
  <c r="AF26" i="9"/>
  <c r="W26" i="9" s="1"/>
  <c r="AE26" i="9"/>
  <c r="V26" i="9" s="1"/>
  <c r="AF22" i="9"/>
  <c r="W22" i="9" s="1"/>
  <c r="AN39" i="9"/>
  <c r="H42" i="9" s="1"/>
  <c r="AC38" i="9"/>
  <c r="AC39" i="9" s="1"/>
  <c r="AC40" i="9" s="1"/>
  <c r="AC14" i="9"/>
  <c r="AG14" i="9" s="1"/>
  <c r="AQ38" i="9"/>
  <c r="AC10" i="9"/>
  <c r="AG10" i="9" s="1"/>
  <c r="AE35" i="9"/>
  <c r="V35" i="9" s="1"/>
  <c r="AK22" i="9"/>
  <c r="AE38" i="9"/>
  <c r="AE39" i="9" s="1"/>
  <c r="AE40" i="9" s="1"/>
  <c r="AF37" i="9"/>
  <c r="W37" i="9" s="1"/>
  <c r="AF33" i="9"/>
  <c r="W33" i="9" s="1"/>
  <c r="AC23" i="9"/>
  <c r="AG23" i="9" s="1"/>
  <c r="AE28" i="9"/>
  <c r="V28" i="9" s="1"/>
  <c r="AF35" i="9"/>
  <c r="W35" i="9" s="1"/>
  <c r="AC33" i="9"/>
  <c r="AG33" i="9" s="1"/>
  <c r="AE19" i="9"/>
  <c r="V19" i="9" s="1"/>
  <c r="AE27" i="9"/>
  <c r="V27" i="9" s="1"/>
  <c r="AF30" i="9"/>
  <c r="W30" i="9" s="1"/>
  <c r="AF16" i="9"/>
  <c r="W16" i="9" s="1"/>
  <c r="AE32" i="9"/>
  <c r="V32" i="9" s="1"/>
  <c r="AC28" i="9"/>
  <c r="AG28" i="9" s="1"/>
  <c r="AC29" i="9"/>
  <c r="AG29" i="9" s="1"/>
  <c r="AF18" i="9"/>
  <c r="W18" i="9" s="1"/>
  <c r="AE18" i="9"/>
  <c r="V18" i="9" s="1"/>
  <c r="AE17" i="9"/>
  <c r="V17" i="9" s="1"/>
  <c r="AF36" i="9"/>
  <c r="W36" i="9" s="1"/>
  <c r="AC18" i="9"/>
  <c r="AG18" i="9" s="1"/>
  <c r="AF10" i="9"/>
  <c r="W10" i="9" s="1"/>
  <c r="AI38" i="9"/>
  <c r="AI39" i="9" s="1"/>
  <c r="AI40" i="9" s="1"/>
  <c r="AC9" i="9"/>
  <c r="AG9" i="9" s="1"/>
  <c r="AR38" i="9"/>
  <c r="AI37" i="8"/>
  <c r="AI38" i="8" s="1"/>
  <c r="AI39" i="8" s="1"/>
  <c r="AF35" i="8"/>
  <c r="W35" i="8" s="1"/>
  <c r="AC37" i="8"/>
  <c r="AC38" i="8" s="1"/>
  <c r="AC39" i="8" s="1"/>
  <c r="AF32" i="8"/>
  <c r="W32" i="8" s="1"/>
  <c r="AE30" i="8"/>
  <c r="V30" i="8" s="1"/>
  <c r="AF18" i="8"/>
  <c r="W18" i="8" s="1"/>
  <c r="AE37" i="8"/>
  <c r="AE38" i="8" s="1"/>
  <c r="AE39" i="8" s="1"/>
  <c r="AS37" i="8"/>
  <c r="AR37" i="8"/>
  <c r="AC9" i="8"/>
  <c r="AG9" i="8" s="1"/>
  <c r="AE8" i="8"/>
  <c r="V8" i="8" s="1"/>
  <c r="AP37" i="8"/>
  <c r="AB37" i="8"/>
  <c r="AB38" i="8" s="1"/>
  <c r="AB39" i="8" s="1"/>
  <c r="AN38" i="8"/>
  <c r="H41" i="8" s="1"/>
  <c r="AE26" i="7"/>
  <c r="V26" i="7" s="1"/>
  <c r="AC25" i="7"/>
  <c r="AG25" i="7" s="1"/>
  <c r="AC35" i="7"/>
  <c r="AG35" i="7" s="1"/>
  <c r="AE13" i="7"/>
  <c r="V13" i="7" s="1"/>
  <c r="AE12" i="7"/>
  <c r="V12" i="7" s="1"/>
  <c r="AF10" i="7"/>
  <c r="W10" i="7" s="1"/>
  <c r="AC36" i="6"/>
  <c r="AG36" i="6" s="1"/>
  <c r="AE7" i="6"/>
  <c r="V7" i="6" s="1"/>
  <c r="AE16" i="6"/>
  <c r="V16" i="6" s="1"/>
  <c r="AE23" i="6"/>
  <c r="V23" i="6" s="1"/>
  <c r="AC30" i="6"/>
  <c r="AG30" i="6" s="1"/>
  <c r="AF28" i="6"/>
  <c r="W28" i="6" s="1"/>
  <c r="AF21" i="6"/>
  <c r="W21" i="6" s="1"/>
  <c r="AE21" i="6"/>
  <c r="V21" i="6" s="1"/>
  <c r="AC14" i="6"/>
  <c r="AG14" i="6" s="1"/>
  <c r="AF14" i="6"/>
  <c r="W14" i="6" s="1"/>
  <c r="AK14" i="6"/>
  <c r="AC37" i="6"/>
  <c r="AC38" i="6" s="1"/>
  <c r="AC39" i="6" s="1"/>
  <c r="AC8" i="6"/>
  <c r="AG8" i="6" s="1"/>
  <c r="AQ37" i="6"/>
  <c r="AE23" i="5"/>
  <c r="V23" i="5" s="1"/>
  <c r="AE26" i="5"/>
  <c r="V26" i="5" s="1"/>
  <c r="AE16" i="4"/>
  <c r="V16" i="4" s="1"/>
  <c r="AE28" i="3"/>
  <c r="V28" i="3" s="1"/>
  <c r="AI38" i="7"/>
  <c r="AC28" i="7"/>
  <c r="AG28" i="7" s="1"/>
  <c r="AE38" i="7"/>
  <c r="AE39" i="7" s="1"/>
  <c r="AE40" i="7" s="1"/>
  <c r="AC27" i="7"/>
  <c r="AG27" i="7" s="1"/>
  <c r="AE27" i="7"/>
  <c r="V27" i="7" s="1"/>
  <c r="AE28" i="7"/>
  <c r="V28" i="7" s="1"/>
  <c r="AF28" i="7"/>
  <c r="W28" i="7" s="1"/>
  <c r="AR38" i="7"/>
  <c r="AV9" i="10"/>
  <c r="AU9" i="8"/>
  <c r="AF19" i="6"/>
  <c r="W19" i="6" s="1"/>
  <c r="AE27" i="3"/>
  <c r="V27" i="3" s="1"/>
  <c r="AF9" i="3"/>
  <c r="W9" i="3" s="1"/>
  <c r="AE9" i="3"/>
  <c r="V9" i="3" s="1"/>
  <c r="AF11" i="3"/>
  <c r="W11" i="3" s="1"/>
  <c r="AF17" i="13"/>
  <c r="W17" i="13" s="1"/>
  <c r="AE31" i="4"/>
  <c r="V31" i="4" s="1"/>
  <c r="AC10" i="4"/>
  <c r="AG10" i="4" s="1"/>
  <c r="AC11" i="4"/>
  <c r="AG11" i="4" s="1"/>
  <c r="AE27" i="4"/>
  <c r="V27" i="4" s="1"/>
  <c r="AF20" i="4"/>
  <c r="W20" i="4" s="1"/>
  <c r="AE13" i="4"/>
  <c r="V13" i="4" s="1"/>
  <c r="AC16" i="4"/>
  <c r="AG16" i="4" s="1"/>
  <c r="AC19" i="4"/>
  <c r="AG19" i="4" s="1"/>
  <c r="AM37" i="11"/>
  <c r="M49" i="11" s="1"/>
  <c r="AU11" i="10"/>
  <c r="AV10" i="10"/>
  <c r="AU10" i="10"/>
  <c r="AN39" i="12"/>
  <c r="H42" i="12" s="1"/>
  <c r="AV7" i="5"/>
  <c r="AE22" i="11"/>
  <c r="V22" i="11" s="1"/>
  <c r="AU9" i="10"/>
  <c r="AI38" i="12"/>
  <c r="AI39" i="12" s="1"/>
  <c r="AI40" i="12" s="1"/>
  <c r="AE27" i="11"/>
  <c r="V27" i="11" s="1"/>
  <c r="AE19" i="11"/>
  <c r="V19" i="11" s="1"/>
  <c r="AE18" i="11"/>
  <c r="V18" i="11" s="1"/>
  <c r="AF36" i="7"/>
  <c r="W36" i="7" s="1"/>
  <c r="AF36" i="11"/>
  <c r="W36" i="11" s="1"/>
  <c r="AF32" i="5"/>
  <c r="W32" i="5" s="1"/>
  <c r="AE17" i="11"/>
  <c r="V17" i="11" s="1"/>
  <c r="AV8" i="10"/>
  <c r="AC19" i="13"/>
  <c r="AG19" i="13" s="1"/>
  <c r="AK26" i="7"/>
  <c r="AC8" i="11"/>
  <c r="AG8" i="11" s="1"/>
  <c r="AC35" i="13"/>
  <c r="AG35" i="13" s="1"/>
  <c r="AE33" i="13"/>
  <c r="V33" i="13" s="1"/>
  <c r="AF32" i="13"/>
  <c r="W32" i="13" s="1"/>
  <c r="AI37" i="11"/>
  <c r="AI38" i="11" s="1"/>
  <c r="AI39" i="11" s="1"/>
  <c r="AC35" i="11"/>
  <c r="AG35" i="11" s="1"/>
  <c r="AC28" i="11"/>
  <c r="AG28" i="11" s="1"/>
  <c r="AC16" i="11"/>
  <c r="AG16" i="11" s="1"/>
  <c r="Q34" i="8"/>
  <c r="M44" i="8" s="1"/>
  <c r="U44" i="8" s="1"/>
  <c r="AQ37" i="8"/>
  <c r="AF24" i="12"/>
  <c r="W24" i="12" s="1"/>
  <c r="AC21" i="12"/>
  <c r="AG21" i="12" s="1"/>
  <c r="AF36" i="13"/>
  <c r="W36" i="13" s="1"/>
  <c r="AF25" i="13"/>
  <c r="W25" i="13" s="1"/>
  <c r="AF11" i="5"/>
  <c r="W11" i="5" s="1"/>
  <c r="AF8" i="8"/>
  <c r="W8" i="8" s="1"/>
  <c r="AE34" i="9"/>
  <c r="V34" i="9" s="1"/>
  <c r="AC22" i="9"/>
  <c r="AG22" i="9" s="1"/>
  <c r="AE15" i="9"/>
  <c r="V15" i="9" s="1"/>
  <c r="AF21" i="3"/>
  <c r="W21" i="3" s="1"/>
  <c r="AK20" i="3"/>
  <c r="AK15" i="14"/>
  <c r="AC36" i="10"/>
  <c r="AG36" i="10" s="1"/>
  <c r="AC14" i="10"/>
  <c r="AG14" i="10" s="1"/>
  <c r="AF13" i="10"/>
  <c r="W13" i="10" s="1"/>
  <c r="AC34" i="6"/>
  <c r="AG34" i="6" s="1"/>
  <c r="AF30" i="6"/>
  <c r="W30" i="6" s="1"/>
  <c r="AF13" i="6"/>
  <c r="W13" i="6" s="1"/>
  <c r="AE30" i="13"/>
  <c r="V30" i="13" s="1"/>
  <c r="AE21" i="8"/>
  <c r="V21" i="8" s="1"/>
  <c r="AK34" i="3"/>
  <c r="AN39" i="10"/>
  <c r="H42" i="10" s="1"/>
  <c r="AE29" i="10"/>
  <c r="V29" i="10" s="1"/>
  <c r="AE14" i="10"/>
  <c r="V14" i="10" s="1"/>
  <c r="AE14" i="6"/>
  <c r="V14" i="6" s="1"/>
  <c r="AF12" i="6"/>
  <c r="W12" i="6" s="1"/>
  <c r="AE8" i="6"/>
  <c r="V8" i="6" s="1"/>
  <c r="AC25" i="11"/>
  <c r="AG25" i="11" s="1"/>
  <c r="AE24" i="11"/>
  <c r="V24" i="11" s="1"/>
  <c r="AC21" i="11"/>
  <c r="AG21" i="11" s="1"/>
  <c r="AE9" i="11"/>
  <c r="V9" i="11" s="1"/>
  <c r="AF35" i="12"/>
  <c r="W35" i="12" s="1"/>
  <c r="AC32" i="12"/>
  <c r="AG32" i="12" s="1"/>
  <c r="AE29" i="12"/>
  <c r="V29" i="12" s="1"/>
  <c r="AF23" i="12"/>
  <c r="W23" i="12" s="1"/>
  <c r="AE17" i="12"/>
  <c r="V17" i="12" s="1"/>
  <c r="AE11" i="12"/>
  <c r="V11" i="12" s="1"/>
  <c r="AE10" i="12"/>
  <c r="V10" i="12" s="1"/>
  <c r="AF34" i="13"/>
  <c r="W34" i="13" s="1"/>
  <c r="AC30" i="13"/>
  <c r="AG30" i="13" s="1"/>
  <c r="AE20" i="13"/>
  <c r="V20" i="13" s="1"/>
  <c r="AF13" i="13"/>
  <c r="W13" i="13" s="1"/>
  <c r="AF25" i="7"/>
  <c r="W25" i="7" s="1"/>
  <c r="AF20" i="7"/>
  <c r="W20" i="7" s="1"/>
  <c r="AE14" i="7"/>
  <c r="V14" i="7" s="1"/>
  <c r="AE33" i="5"/>
  <c r="V33" i="5" s="1"/>
  <c r="AC11" i="5"/>
  <c r="AG11" i="5" s="1"/>
  <c r="AF29" i="8"/>
  <c r="W29" i="8" s="1"/>
  <c r="AC26" i="8"/>
  <c r="AG26" i="8" s="1"/>
  <c r="AC20" i="8"/>
  <c r="AG20" i="8" s="1"/>
  <c r="AF11" i="8"/>
  <c r="W11" i="8" s="1"/>
  <c r="AE36" i="9"/>
  <c r="V36" i="9" s="1"/>
  <c r="AE35" i="3"/>
  <c r="V35" i="3" s="1"/>
  <c r="AK27" i="3"/>
  <c r="AE13" i="3"/>
  <c r="V13" i="3" s="1"/>
  <c r="AC16" i="14"/>
  <c r="AG16" i="14" s="1"/>
  <c r="AC10" i="14"/>
  <c r="AG10" i="14" s="1"/>
  <c r="AK8" i="14"/>
  <c r="AC13" i="10"/>
  <c r="AG13" i="10" s="1"/>
  <c r="AK11" i="10"/>
  <c r="AF35" i="6"/>
  <c r="W35" i="6" s="1"/>
  <c r="AF29" i="6"/>
  <c r="W29" i="6" s="1"/>
  <c r="AF15" i="6"/>
  <c r="W15" i="6" s="1"/>
  <c r="AU7" i="4"/>
  <c r="AF19" i="9"/>
  <c r="W19" i="9" s="1"/>
  <c r="AC25" i="6"/>
  <c r="AG25" i="6" s="1"/>
  <c r="AE13" i="6"/>
  <c r="V13" i="6" s="1"/>
  <c r="AF11" i="6"/>
  <c r="W11" i="6" s="1"/>
  <c r="AF28" i="9"/>
  <c r="W28" i="9" s="1"/>
  <c r="AC11" i="9"/>
  <c r="AG11" i="9" s="1"/>
  <c r="AF33" i="3"/>
  <c r="W33" i="3" s="1"/>
  <c r="AC20" i="3"/>
  <c r="AG20" i="3" s="1"/>
  <c r="AE28" i="10"/>
  <c r="V28" i="10" s="1"/>
  <c r="AK25" i="10"/>
  <c r="AF31" i="8"/>
  <c r="W31" i="8" s="1"/>
  <c r="AF27" i="8"/>
  <c r="W27" i="8" s="1"/>
  <c r="AF21" i="8"/>
  <c r="W21" i="8" s="1"/>
  <c r="AF17" i="8"/>
  <c r="W17" i="8" s="1"/>
  <c r="AF31" i="9"/>
  <c r="W31" i="9" s="1"/>
  <c r="AF15" i="9"/>
  <c r="W15" i="9" s="1"/>
  <c r="AF9" i="9"/>
  <c r="W9" i="9" s="1"/>
  <c r="AC34" i="3"/>
  <c r="AG34" i="3" s="1"/>
  <c r="AC27" i="3"/>
  <c r="AG27" i="3" s="1"/>
  <c r="AF26" i="3"/>
  <c r="W26" i="3" s="1"/>
  <c r="AF34" i="14"/>
  <c r="W34" i="14" s="1"/>
  <c r="AN39" i="14"/>
  <c r="H42" i="14" s="1"/>
  <c r="AE29" i="14"/>
  <c r="V29" i="14" s="1"/>
  <c r="AF22" i="14"/>
  <c r="W22" i="14" s="1"/>
  <c r="AC19" i="14"/>
  <c r="AG19" i="14" s="1"/>
  <c r="AF36" i="10"/>
  <c r="W36" i="10" s="1"/>
  <c r="AC27" i="10"/>
  <c r="AG27" i="10" s="1"/>
  <c r="AF10" i="10"/>
  <c r="W10" i="10" s="1"/>
  <c r="AE35" i="6"/>
  <c r="V35" i="6" s="1"/>
  <c r="AE29" i="6"/>
  <c r="V29" i="6" s="1"/>
  <c r="AF17" i="6"/>
  <c r="W17" i="6" s="1"/>
  <c r="AC11" i="6"/>
  <c r="AG11" i="6" s="1"/>
  <c r="AK13" i="3"/>
  <c r="AK16" i="14"/>
  <c r="AF9" i="11"/>
  <c r="W9" i="11" s="1"/>
  <c r="AF7" i="11"/>
  <c r="W7" i="11" s="1"/>
  <c r="AE33" i="12"/>
  <c r="V33" i="12" s="1"/>
  <c r="AF29" i="12"/>
  <c r="W29" i="12" s="1"/>
  <c r="AE26" i="13"/>
  <c r="V26" i="13" s="1"/>
  <c r="AF35" i="7"/>
  <c r="W35" i="7" s="1"/>
  <c r="AF34" i="7"/>
  <c r="W34" i="7" s="1"/>
  <c r="AC32" i="7"/>
  <c r="AG32" i="7" s="1"/>
  <c r="AC24" i="7"/>
  <c r="AG24" i="7" s="1"/>
  <c r="AF22" i="7"/>
  <c r="W22" i="7" s="1"/>
  <c r="AF35" i="5"/>
  <c r="W35" i="5" s="1"/>
  <c r="AF17" i="5"/>
  <c r="W17" i="5" s="1"/>
  <c r="AC14" i="5"/>
  <c r="AG14" i="5" s="1"/>
  <c r="AC32" i="8"/>
  <c r="AG32" i="8" s="1"/>
  <c r="AC31" i="8"/>
  <c r="AG31" i="8" s="1"/>
  <c r="AF22" i="8"/>
  <c r="W22" i="8" s="1"/>
  <c r="AC21" i="8"/>
  <c r="AG21" i="8" s="1"/>
  <c r="AF20" i="8"/>
  <c r="W20" i="8" s="1"/>
  <c r="AF16" i="8"/>
  <c r="W16" i="8" s="1"/>
  <c r="AC14" i="8"/>
  <c r="AG14" i="8" s="1"/>
  <c r="AC31" i="9"/>
  <c r="AG31" i="9" s="1"/>
  <c r="AK21" i="9"/>
  <c r="AC19" i="9"/>
  <c r="AG19" i="9" s="1"/>
  <c r="AE17" i="3"/>
  <c r="V17" i="3" s="1"/>
  <c r="AF19" i="4"/>
  <c r="W19" i="4" s="1"/>
  <c r="AK17" i="4"/>
  <c r="AK10" i="4"/>
  <c r="AF14" i="10"/>
  <c r="W14" i="10" s="1"/>
  <c r="AC22" i="6"/>
  <c r="AG22" i="6" s="1"/>
  <c r="AF9" i="6"/>
  <c r="W9" i="6" s="1"/>
  <c r="AV12" i="12"/>
  <c r="AW15" i="12"/>
  <c r="AW16" i="12" s="1"/>
  <c r="AV7" i="13"/>
  <c r="AU7" i="13" s="1"/>
  <c r="N7" i="13" s="1"/>
  <c r="AV8" i="13"/>
  <c r="AE33" i="3"/>
  <c r="V33" i="3" s="1"/>
  <c r="AE11" i="3"/>
  <c r="V11" i="3" s="1"/>
  <c r="AN39" i="7"/>
  <c r="H42" i="7" s="1"/>
  <c r="AF7" i="7"/>
  <c r="W7" i="7" s="1"/>
  <c r="AE7" i="7"/>
  <c r="V7" i="7" s="1"/>
  <c r="AC7" i="7"/>
  <c r="AG7" i="7" s="1"/>
  <c r="AQ38" i="7"/>
  <c r="AS38" i="7"/>
  <c r="AE28" i="6"/>
  <c r="V28" i="6" s="1"/>
  <c r="AB37" i="6"/>
  <c r="AB38" i="6" s="1"/>
  <c r="AB39" i="6" s="1"/>
  <c r="AP37" i="6"/>
  <c r="AK25" i="13"/>
  <c r="AK18" i="13"/>
  <c r="AE37" i="10"/>
  <c r="V37" i="10" s="1"/>
  <c r="AC38" i="10"/>
  <c r="AC39" i="10" s="1"/>
  <c r="AC40" i="10" s="1"/>
  <c r="AB38" i="10"/>
  <c r="AB39" i="10" s="1"/>
  <c r="AB40" i="10" s="1"/>
  <c r="AC37" i="10"/>
  <c r="AG37" i="10" s="1"/>
  <c r="AE38" i="10"/>
  <c r="AE39" i="10" s="1"/>
  <c r="AE40" i="10" s="1"/>
  <c r="AR38" i="10"/>
  <c r="AP38" i="10"/>
  <c r="AC30" i="10"/>
  <c r="AG30" i="10" s="1"/>
  <c r="AQ38" i="10"/>
  <c r="AF30" i="10"/>
  <c r="W30" i="10" s="1"/>
  <c r="AE30" i="10"/>
  <c r="V30" i="10" s="1"/>
  <c r="AV8" i="4"/>
  <c r="AF34" i="11"/>
  <c r="W34" i="11" s="1"/>
  <c r="AE34" i="11"/>
  <c r="V34" i="11" s="1"/>
  <c r="AF30" i="11"/>
  <c r="W30" i="11" s="1"/>
  <c r="AC33" i="11"/>
  <c r="AG33" i="11" s="1"/>
  <c r="AF16" i="11"/>
  <c r="W16" i="11" s="1"/>
  <c r="AF25" i="11"/>
  <c r="W25" i="11" s="1"/>
  <c r="AF24" i="11"/>
  <c r="W24" i="11" s="1"/>
  <c r="AC23" i="11"/>
  <c r="AG23" i="11" s="1"/>
  <c r="AF21" i="11"/>
  <c r="W21" i="11" s="1"/>
  <c r="AC18" i="11"/>
  <c r="AG18" i="11" s="1"/>
  <c r="AC17" i="11"/>
  <c r="AG17" i="11" s="1"/>
  <c r="AC12" i="11"/>
  <c r="AG12" i="11" s="1"/>
  <c r="AC11" i="11"/>
  <c r="AG11" i="11" s="1"/>
  <c r="AF10" i="11"/>
  <c r="W10" i="11" s="1"/>
  <c r="AC36" i="12"/>
  <c r="AG36" i="12" s="1"/>
  <c r="AC33" i="12"/>
  <c r="AG33" i="12" s="1"/>
  <c r="AE31" i="12"/>
  <c r="V31" i="12" s="1"/>
  <c r="AF25" i="12"/>
  <c r="W25" i="12" s="1"/>
  <c r="AF19" i="12"/>
  <c r="W19" i="12" s="1"/>
  <c r="AF13" i="12"/>
  <c r="W13" i="12" s="1"/>
  <c r="AF11" i="12"/>
  <c r="W11" i="12" s="1"/>
  <c r="AF10" i="12"/>
  <c r="W10" i="12" s="1"/>
  <c r="AF35" i="13"/>
  <c r="W35" i="13" s="1"/>
  <c r="AC34" i="13"/>
  <c r="AG34" i="13" s="1"/>
  <c r="AC29" i="13"/>
  <c r="AG29" i="13" s="1"/>
  <c r="AC27" i="13"/>
  <c r="AG27" i="13" s="1"/>
  <c r="AC11" i="13"/>
  <c r="AG11" i="13" s="1"/>
  <c r="AF37" i="7"/>
  <c r="W37" i="7" s="1"/>
  <c r="AE36" i="7"/>
  <c r="V36" i="7" s="1"/>
  <c r="AC29" i="7"/>
  <c r="AG29" i="7" s="1"/>
  <c r="AC27" i="8"/>
  <c r="AG27" i="8" s="1"/>
  <c r="AK28" i="12"/>
  <c r="AE19" i="12"/>
  <c r="V19" i="12" s="1"/>
  <c r="AC17" i="13"/>
  <c r="AG17" i="13" s="1"/>
  <c r="AE12" i="13"/>
  <c r="V12" i="13" s="1"/>
  <c r="AC38" i="7"/>
  <c r="AC39" i="7" s="1"/>
  <c r="AC40" i="7" s="1"/>
  <c r="AF23" i="11"/>
  <c r="W23" i="11" s="1"/>
  <c r="AE16" i="11"/>
  <c r="V16" i="11" s="1"/>
  <c r="AF13" i="11"/>
  <c r="W13" i="11" s="1"/>
  <c r="AF12" i="11"/>
  <c r="W12" i="11" s="1"/>
  <c r="AC30" i="12"/>
  <c r="AG30" i="12" s="1"/>
  <c r="AF26" i="12"/>
  <c r="W26" i="12" s="1"/>
  <c r="AC26" i="12"/>
  <c r="AG26" i="12" s="1"/>
  <c r="AF21" i="12"/>
  <c r="W21" i="12" s="1"/>
  <c r="AE18" i="12"/>
  <c r="V18" i="12" s="1"/>
  <c r="AF15" i="12"/>
  <c r="W15" i="12" s="1"/>
  <c r="AE8" i="12"/>
  <c r="V8" i="12" s="1"/>
  <c r="AF31" i="13"/>
  <c r="W31" i="13" s="1"/>
  <c r="AF28" i="13"/>
  <c r="W28" i="13" s="1"/>
  <c r="AC24" i="13"/>
  <c r="AG24" i="13" s="1"/>
  <c r="AC22" i="13"/>
  <c r="AG22" i="13" s="1"/>
  <c r="AE21" i="13"/>
  <c r="V21" i="13" s="1"/>
  <c r="AF18" i="13"/>
  <c r="W18" i="13" s="1"/>
  <c r="AF16" i="13"/>
  <c r="W16" i="13" s="1"/>
  <c r="AK11" i="13"/>
  <c r="AC37" i="7"/>
  <c r="AG37" i="7" s="1"/>
  <c r="AE31" i="7"/>
  <c r="V31" i="7" s="1"/>
  <c r="AF27" i="7"/>
  <c r="W27" i="7" s="1"/>
  <c r="AC19" i="7"/>
  <c r="AG19" i="7" s="1"/>
  <c r="AF12" i="5"/>
  <c r="W12" i="5" s="1"/>
  <c r="AF19" i="7"/>
  <c r="W19" i="7" s="1"/>
  <c r="AF14" i="7"/>
  <c r="W14" i="7" s="1"/>
  <c r="AF13" i="7"/>
  <c r="W13" i="7" s="1"/>
  <c r="AF36" i="5"/>
  <c r="W36" i="5" s="1"/>
  <c r="AC30" i="5"/>
  <c r="AG30" i="5" s="1"/>
  <c r="AC25" i="5"/>
  <c r="AG25" i="5" s="1"/>
  <c r="AF24" i="5"/>
  <c r="W24" i="5" s="1"/>
  <c r="AF21" i="5"/>
  <c r="W21" i="5" s="1"/>
  <c r="AF20" i="5"/>
  <c r="W20" i="5" s="1"/>
  <c r="AT38" i="5"/>
  <c r="AC19" i="5"/>
  <c r="AG19" i="5" s="1"/>
  <c r="AF9" i="5"/>
  <c r="W9" i="5" s="1"/>
  <c r="AC8" i="5"/>
  <c r="AG8" i="5" s="1"/>
  <c r="AF7" i="5"/>
  <c r="W7" i="5" s="1"/>
  <c r="AC23" i="8"/>
  <c r="AG23" i="8" s="1"/>
  <c r="AF19" i="8"/>
  <c r="W19" i="8" s="1"/>
  <c r="AE17" i="8"/>
  <c r="V17" i="8" s="1"/>
  <c r="AF13" i="8"/>
  <c r="W13" i="8" s="1"/>
  <c r="AF32" i="9"/>
  <c r="W32" i="9" s="1"/>
  <c r="AF24" i="9"/>
  <c r="W24" i="9" s="1"/>
  <c r="AC15" i="9"/>
  <c r="AG15" i="9" s="1"/>
  <c r="AF14" i="9"/>
  <c r="W14" i="9" s="1"/>
  <c r="AE29" i="5"/>
  <c r="V29" i="5" s="1"/>
  <c r="AE27" i="5"/>
  <c r="V27" i="5" s="1"/>
  <c r="AE15" i="5"/>
  <c r="V15" i="5" s="1"/>
  <c r="AE10" i="5"/>
  <c r="V10" i="5" s="1"/>
  <c r="AF28" i="8"/>
  <c r="W28" i="8" s="1"/>
  <c r="AE24" i="8"/>
  <c r="V24" i="8" s="1"/>
  <c r="AE19" i="8"/>
  <c r="V19" i="8" s="1"/>
  <c r="AC15" i="8"/>
  <c r="AG15" i="8" s="1"/>
  <c r="AE20" i="9"/>
  <c r="V20" i="9" s="1"/>
  <c r="AE12" i="9"/>
  <c r="V12" i="9" s="1"/>
  <c r="AE8" i="9"/>
  <c r="V8" i="9" s="1"/>
  <c r="AE36" i="3"/>
  <c r="V36" i="3" s="1"/>
  <c r="AE16" i="3"/>
  <c r="V16" i="3" s="1"/>
  <c r="AE10" i="3"/>
  <c r="V10" i="3" s="1"/>
  <c r="AF30" i="7"/>
  <c r="W30" i="7" s="1"/>
  <c r="AF24" i="7"/>
  <c r="W24" i="7" s="1"/>
  <c r="AF18" i="7"/>
  <c r="W18" i="7" s="1"/>
  <c r="AF16" i="7"/>
  <c r="W16" i="7" s="1"/>
  <c r="AC16" i="7"/>
  <c r="AG16" i="7" s="1"/>
  <c r="AC15" i="7"/>
  <c r="AG15" i="7" s="1"/>
  <c r="AC14" i="7"/>
  <c r="AG14" i="7" s="1"/>
  <c r="AE37" i="5"/>
  <c r="V37" i="5" s="1"/>
  <c r="AC33" i="5"/>
  <c r="AG33" i="5" s="1"/>
  <c r="AF29" i="5"/>
  <c r="W29" i="5" s="1"/>
  <c r="AC13" i="5"/>
  <c r="AG13" i="5" s="1"/>
  <c r="AC12" i="5"/>
  <c r="AG12" i="5" s="1"/>
  <c r="AE11" i="5"/>
  <c r="V11" i="5" s="1"/>
  <c r="AF8" i="5"/>
  <c r="W8" i="5" s="1"/>
  <c r="AE34" i="8"/>
  <c r="V34" i="8" s="1"/>
  <c r="AF33" i="8"/>
  <c r="W33" i="8" s="1"/>
  <c r="AE31" i="8"/>
  <c r="V31" i="8" s="1"/>
  <c r="AE28" i="8"/>
  <c r="V28" i="8" s="1"/>
  <c r="AE25" i="8"/>
  <c r="V25" i="8" s="1"/>
  <c r="AF24" i="8"/>
  <c r="W24" i="8" s="1"/>
  <c r="AC13" i="8"/>
  <c r="AG13" i="8" s="1"/>
  <c r="AC7" i="8"/>
  <c r="AG7" i="8" s="1"/>
  <c r="AK30" i="9"/>
  <c r="AC26" i="9"/>
  <c r="AG26" i="9" s="1"/>
  <c r="AC25" i="9"/>
  <c r="AG25" i="9" s="1"/>
  <c r="AE24" i="9"/>
  <c r="V24" i="9" s="1"/>
  <c r="AF23" i="9"/>
  <c r="W23" i="9" s="1"/>
  <c r="AC17" i="9"/>
  <c r="AG17" i="9" s="1"/>
  <c r="AE10" i="9"/>
  <c r="V10" i="9" s="1"/>
  <c r="AT38" i="14"/>
  <c r="AM38" i="14" s="1"/>
  <c r="AE26" i="10"/>
  <c r="V26" i="10" s="1"/>
  <c r="AN38" i="6"/>
  <c r="H41" i="6" s="1"/>
  <c r="AF12" i="9"/>
  <c r="W12" i="9" s="1"/>
  <c r="AC8" i="9"/>
  <c r="AG8" i="9" s="1"/>
  <c r="AC7" i="9"/>
  <c r="AG7" i="9" s="1"/>
  <c r="AC29" i="3"/>
  <c r="AG29" i="3" s="1"/>
  <c r="AF15" i="3"/>
  <c r="W15" i="3" s="1"/>
  <c r="AE15" i="4"/>
  <c r="V15" i="4" s="1"/>
  <c r="AF37" i="14"/>
  <c r="W37" i="14" s="1"/>
  <c r="AE32" i="14"/>
  <c r="V32" i="14" s="1"/>
  <c r="AF26" i="14"/>
  <c r="W26" i="14" s="1"/>
  <c r="AE25" i="14"/>
  <c r="V25" i="14" s="1"/>
  <c r="AC17" i="14"/>
  <c r="AG17" i="14" s="1"/>
  <c r="AF15" i="14"/>
  <c r="W15" i="14" s="1"/>
  <c r="AF13" i="14"/>
  <c r="W13" i="14" s="1"/>
  <c r="AF35" i="10"/>
  <c r="W35" i="10" s="1"/>
  <c r="AF27" i="10"/>
  <c r="W27" i="10" s="1"/>
  <c r="AC23" i="10"/>
  <c r="AG23" i="10" s="1"/>
  <c r="AE20" i="10"/>
  <c r="V20" i="10" s="1"/>
  <c r="AC19" i="10"/>
  <c r="AG19" i="10" s="1"/>
  <c r="AC31" i="6"/>
  <c r="AG31" i="6" s="1"/>
  <c r="AC28" i="6"/>
  <c r="AG28" i="6" s="1"/>
  <c r="AF24" i="6"/>
  <c r="W24" i="6" s="1"/>
  <c r="AE18" i="6"/>
  <c r="V18" i="6" s="1"/>
  <c r="AC10" i="6"/>
  <c r="AG10" i="6" s="1"/>
  <c r="AE8" i="3"/>
  <c r="V8" i="3" s="1"/>
  <c r="AE23" i="4"/>
  <c r="V23" i="4" s="1"/>
  <c r="AE35" i="14"/>
  <c r="V35" i="14" s="1"/>
  <c r="AE33" i="14"/>
  <c r="V33" i="14" s="1"/>
  <c r="AF25" i="14"/>
  <c r="W25" i="14" s="1"/>
  <c r="AE23" i="14"/>
  <c r="V23" i="14" s="1"/>
  <c r="AF28" i="10"/>
  <c r="W28" i="10" s="1"/>
  <c r="AC26" i="10"/>
  <c r="AG26" i="10" s="1"/>
  <c r="AC25" i="10"/>
  <c r="AG25" i="10" s="1"/>
  <c r="AF24" i="10"/>
  <c r="W24" i="10" s="1"/>
  <c r="AE22" i="10"/>
  <c r="V22" i="10" s="1"/>
  <c r="AF21" i="10"/>
  <c r="W21" i="10" s="1"/>
  <c r="AE19" i="10"/>
  <c r="V19" i="10" s="1"/>
  <c r="AE10" i="10"/>
  <c r="V10" i="10" s="1"/>
  <c r="AE31" i="6"/>
  <c r="V31" i="6" s="1"/>
  <c r="AC13" i="6"/>
  <c r="AG13" i="6" s="1"/>
  <c r="AE10" i="6"/>
  <c r="V10" i="6" s="1"/>
  <c r="AU7" i="6"/>
  <c r="AC37" i="3"/>
  <c r="AG37" i="3" s="1"/>
  <c r="AC36" i="3"/>
  <c r="AG36" i="3" s="1"/>
  <c r="AF34" i="3"/>
  <c r="W34" i="3" s="1"/>
  <c r="AC32" i="3"/>
  <c r="AG32" i="3" s="1"/>
  <c r="AC26" i="3"/>
  <c r="AG26" i="3" s="1"/>
  <c r="AE25" i="3"/>
  <c r="V25" i="3" s="1"/>
  <c r="AF24" i="3"/>
  <c r="W24" i="3" s="1"/>
  <c r="AE23" i="3"/>
  <c r="V23" i="3" s="1"/>
  <c r="AE19" i="3"/>
  <c r="V19" i="3" s="1"/>
  <c r="AC18" i="3"/>
  <c r="AG18" i="3" s="1"/>
  <c r="AF24" i="4"/>
  <c r="W24" i="4" s="1"/>
  <c r="AC7" i="4"/>
  <c r="AG7" i="4" s="1"/>
  <c r="AC36" i="14"/>
  <c r="AG36" i="14" s="1"/>
  <c r="AF35" i="14"/>
  <c r="W35" i="14" s="1"/>
  <c r="AF28" i="14"/>
  <c r="W28" i="14" s="1"/>
  <c r="AF24" i="14"/>
  <c r="W24" i="14" s="1"/>
  <c r="AF23" i="14"/>
  <c r="W23" i="14" s="1"/>
  <c r="AC15" i="14"/>
  <c r="AG15" i="14" s="1"/>
  <c r="AF14" i="14"/>
  <c r="W14" i="14" s="1"/>
  <c r="AF31" i="10"/>
  <c r="W31" i="10" s="1"/>
  <c r="AC29" i="10"/>
  <c r="AG29" i="10" s="1"/>
  <c r="AC28" i="10"/>
  <c r="AG28" i="10" s="1"/>
  <c r="AF26" i="10"/>
  <c r="W26" i="10" s="1"/>
  <c r="AF22" i="10"/>
  <c r="W22" i="10" s="1"/>
  <c r="AE13" i="10"/>
  <c r="V13" i="10" s="1"/>
  <c r="AE12" i="10"/>
  <c r="V12" i="10" s="1"/>
  <c r="AF31" i="6"/>
  <c r="W31" i="6" s="1"/>
  <c r="AF27" i="6"/>
  <c r="W27" i="6" s="1"/>
  <c r="AE27" i="6"/>
  <c r="V27" i="6" s="1"/>
  <c r="AF22" i="6"/>
  <c r="W22" i="6" s="1"/>
  <c r="AE22" i="6"/>
  <c r="V22" i="6" s="1"/>
  <c r="AF20" i="6"/>
  <c r="W20" i="6" s="1"/>
  <c r="AE15" i="6"/>
  <c r="V15" i="6" s="1"/>
  <c r="AC9" i="6"/>
  <c r="AG9" i="6" s="1"/>
  <c r="AI37" i="6"/>
  <c r="AI38" i="6" s="1"/>
  <c r="AI39" i="6" s="1"/>
  <c r="AS37" i="6"/>
  <c r="AK23" i="14"/>
  <c r="AE27" i="14"/>
  <c r="V27" i="14" s="1"/>
  <c r="AC37" i="14"/>
  <c r="AG37" i="14" s="1"/>
  <c r="AC35" i="14"/>
  <c r="AG35" i="14" s="1"/>
  <c r="AC34" i="14"/>
  <c r="AG34" i="14" s="1"/>
  <c r="AF33" i="14"/>
  <c r="W33" i="14" s="1"/>
  <c r="AF30" i="14"/>
  <c r="W30" i="14" s="1"/>
  <c r="AC26" i="14"/>
  <c r="AG26" i="14" s="1"/>
  <c r="AF21" i="14"/>
  <c r="W21" i="14" s="1"/>
  <c r="AE19" i="14"/>
  <c r="V19" i="14" s="1"/>
  <c r="AC18" i="14"/>
  <c r="AG18" i="14" s="1"/>
  <c r="AC14" i="14"/>
  <c r="AG14" i="14" s="1"/>
  <c r="AC7" i="14"/>
  <c r="AG7" i="14" s="1"/>
  <c r="AE36" i="14"/>
  <c r="V36" i="14" s="1"/>
  <c r="AE12" i="14"/>
  <c r="V12" i="14" s="1"/>
  <c r="AC30" i="14"/>
  <c r="AG30" i="14" s="1"/>
  <c r="AF16" i="14"/>
  <c r="W16" i="14" s="1"/>
  <c r="AC9" i="14"/>
  <c r="AG9" i="14" s="1"/>
  <c r="AE26" i="14"/>
  <c r="V26" i="14" s="1"/>
  <c r="AC13" i="14"/>
  <c r="AG13" i="14" s="1"/>
  <c r="AF8" i="14"/>
  <c r="W8" i="14" s="1"/>
  <c r="AC7" i="3"/>
  <c r="AG7" i="3" s="1"/>
  <c r="AE7" i="14"/>
  <c r="V7" i="14" s="1"/>
  <c r="AC8" i="14"/>
  <c r="AG8" i="14" s="1"/>
  <c r="AE34" i="13"/>
  <c r="V34" i="13" s="1"/>
  <c r="AE35" i="13"/>
  <c r="V35" i="13" s="1"/>
  <c r="AC36" i="13"/>
  <c r="AG36" i="13" s="1"/>
  <c r="AE29" i="13"/>
  <c r="V29" i="13" s="1"/>
  <c r="AC26" i="13"/>
  <c r="AG26" i="13" s="1"/>
  <c r="AE27" i="13"/>
  <c r="V27" i="13" s="1"/>
  <c r="AE22" i="13"/>
  <c r="V22" i="13" s="1"/>
  <c r="AC20" i="13"/>
  <c r="AG20" i="13" s="1"/>
  <c r="AC21" i="13"/>
  <c r="AG21" i="13" s="1"/>
  <c r="AF20" i="13"/>
  <c r="W20" i="13" s="1"/>
  <c r="AE15" i="13"/>
  <c r="V15" i="13" s="1"/>
  <c r="AE13" i="13"/>
  <c r="V13" i="13" s="1"/>
  <c r="AC16" i="13"/>
  <c r="AG16" i="13" s="1"/>
  <c r="AV11" i="12"/>
  <c r="AU11" i="12"/>
  <c r="AE8" i="14"/>
  <c r="V8" i="14" s="1"/>
  <c r="AF7" i="14"/>
  <c r="W7" i="14" s="1"/>
  <c r="AI38" i="14"/>
  <c r="AI39" i="14" s="1"/>
  <c r="AI40" i="14" s="1"/>
  <c r="AW12" i="13"/>
  <c r="AW13" i="13" s="1"/>
  <c r="AF19" i="13"/>
  <c r="W19" i="13" s="1"/>
  <c r="AE19" i="13"/>
  <c r="V19" i="13" s="1"/>
  <c r="AE18" i="13"/>
  <c r="V18" i="13" s="1"/>
  <c r="AF15" i="13"/>
  <c r="W15" i="13" s="1"/>
  <c r="AC15" i="13"/>
  <c r="AG15" i="13" s="1"/>
  <c r="AB37" i="13"/>
  <c r="AB38" i="13" s="1"/>
  <c r="AB39" i="13" s="1"/>
  <c r="AF14" i="13"/>
  <c r="W14" i="13" s="1"/>
  <c r="AE14" i="13"/>
  <c r="V14" i="13" s="1"/>
  <c r="AC13" i="13"/>
  <c r="AG13" i="13" s="1"/>
  <c r="AF12" i="13"/>
  <c r="W12" i="13" s="1"/>
  <c r="AN38" i="13"/>
  <c r="H41" i="13" s="1"/>
  <c r="AE11" i="13"/>
  <c r="V11" i="13" s="1"/>
  <c r="AC33" i="13"/>
  <c r="AG33" i="13" s="1"/>
  <c r="AC37" i="13"/>
  <c r="AC38" i="13" s="1"/>
  <c r="AC39" i="13" s="1"/>
  <c r="AQ37" i="13"/>
  <c r="AI37" i="13"/>
  <c r="AI38" i="13" s="1"/>
  <c r="AI39" i="13" s="1"/>
  <c r="AR37" i="13"/>
  <c r="AE37" i="13"/>
  <c r="AE38" i="13" s="1"/>
  <c r="AE39" i="13" s="1"/>
  <c r="AF26" i="13"/>
  <c r="W26" i="13" s="1"/>
  <c r="AC25" i="13"/>
  <c r="AG25" i="13" s="1"/>
  <c r="AP37" i="13"/>
  <c r="AS37" i="13"/>
  <c r="AF7" i="9"/>
  <c r="W7" i="9" s="1"/>
  <c r="AS38" i="9"/>
  <c r="AB38" i="9"/>
  <c r="AB39" i="9" s="1"/>
  <c r="AB40" i="9" s="1"/>
  <c r="AP38" i="9"/>
  <c r="AC9" i="3"/>
  <c r="AG9" i="3" s="1"/>
  <c r="AE15" i="3"/>
  <c r="V15" i="3" s="1"/>
  <c r="AE30" i="3"/>
  <c r="V30" i="3" s="1"/>
  <c r="AF28" i="3"/>
  <c r="W28" i="3" s="1"/>
  <c r="AE26" i="3"/>
  <c r="V26" i="3" s="1"/>
  <c r="AE20" i="3"/>
  <c r="V20" i="3" s="1"/>
  <c r="AF10" i="3"/>
  <c r="W10" i="3" s="1"/>
  <c r="AC16" i="3"/>
  <c r="AG16" i="3" s="1"/>
  <c r="AE24" i="3"/>
  <c r="V24" i="3" s="1"/>
  <c r="AE21" i="3"/>
  <c r="V21" i="3" s="1"/>
  <c r="AE37" i="6"/>
  <c r="AE38" i="6" s="1"/>
  <c r="AE39" i="6" s="1"/>
  <c r="AR37" i="6"/>
  <c r="AF8" i="6"/>
  <c r="W8" i="6" s="1"/>
  <c r="AC10" i="5"/>
  <c r="AG10" i="5" s="1"/>
  <c r="AC37" i="5"/>
  <c r="AG37" i="5" s="1"/>
  <c r="AF31" i="5"/>
  <c r="W31" i="5" s="1"/>
  <c r="AE25" i="5"/>
  <c r="V25" i="5" s="1"/>
  <c r="AF19" i="5"/>
  <c r="W19" i="5" s="1"/>
  <c r="AF37" i="5"/>
  <c r="W37" i="5" s="1"/>
  <c r="AE32" i="5"/>
  <c r="V32" i="5" s="1"/>
  <c r="AE22" i="5"/>
  <c r="V22" i="5" s="1"/>
  <c r="AE19" i="5"/>
  <c r="V19" i="5" s="1"/>
  <c r="AF15" i="5"/>
  <c r="W15" i="5" s="1"/>
  <c r="AC36" i="5"/>
  <c r="AG36" i="5" s="1"/>
  <c r="AF33" i="5"/>
  <c r="W33" i="5" s="1"/>
  <c r="AC31" i="5"/>
  <c r="AG31" i="5" s="1"/>
  <c r="AC28" i="5"/>
  <c r="AG28" i="5" s="1"/>
  <c r="AC23" i="5"/>
  <c r="AG23" i="5" s="1"/>
  <c r="AF22" i="5"/>
  <c r="W22" i="5" s="1"/>
  <c r="AC21" i="5"/>
  <c r="AG21" i="5" s="1"/>
  <c r="AE13" i="5"/>
  <c r="V13" i="5" s="1"/>
  <c r="AC27" i="4"/>
  <c r="AG27" i="4" s="1"/>
  <c r="AE20" i="4"/>
  <c r="V20" i="4" s="1"/>
  <c r="AC8" i="4"/>
  <c r="AG8" i="4" s="1"/>
  <c r="AF33" i="4"/>
  <c r="W33" i="4" s="1"/>
  <c r="AF30" i="4"/>
  <c r="W30" i="4" s="1"/>
  <c r="AC26" i="4"/>
  <c r="AG26" i="4" s="1"/>
  <c r="AF22" i="4"/>
  <c r="W22" i="4" s="1"/>
  <c r="AC18" i="4"/>
  <c r="AG18" i="4" s="1"/>
  <c r="AC12" i="4"/>
  <c r="AG12" i="4" s="1"/>
  <c r="AC14" i="4"/>
  <c r="AG14" i="4" s="1"/>
  <c r="AC33" i="3"/>
  <c r="AG33" i="3" s="1"/>
  <c r="AF32" i="3"/>
  <c r="W32" i="3" s="1"/>
  <c r="AC31" i="3"/>
  <c r="AG31" i="3" s="1"/>
  <c r="AF29" i="3"/>
  <c r="W29" i="3" s="1"/>
  <c r="AC28" i="3"/>
  <c r="AG28" i="3" s="1"/>
  <c r="AF27" i="3"/>
  <c r="W27" i="3" s="1"/>
  <c r="AE18" i="3"/>
  <c r="V18" i="3" s="1"/>
  <c r="AF17" i="3"/>
  <c r="W17" i="3" s="1"/>
  <c r="AF16" i="3"/>
  <c r="W16" i="3" s="1"/>
  <c r="AE29" i="3"/>
  <c r="V29" i="3" s="1"/>
  <c r="AE34" i="3"/>
  <c r="V34" i="3" s="1"/>
  <c r="AF18" i="3"/>
  <c r="W18" i="3" s="1"/>
  <c r="AE12" i="3"/>
  <c r="V12" i="3" s="1"/>
  <c r="AF35" i="3"/>
  <c r="W35" i="3" s="1"/>
  <c r="AF14" i="3"/>
  <c r="W14" i="3" s="1"/>
  <c r="AC12" i="3"/>
  <c r="AG12" i="3" s="1"/>
  <c r="AE31" i="14"/>
  <c r="V31" i="14" s="1"/>
  <c r="AS38" i="14"/>
  <c r="AC31" i="14"/>
  <c r="AG31" i="14" s="1"/>
  <c r="AF31" i="14"/>
  <c r="W31" i="14" s="1"/>
  <c r="AC17" i="7"/>
  <c r="AG17" i="7" s="1"/>
  <c r="AE17" i="7"/>
  <c r="V17" i="7" s="1"/>
  <c r="AP38" i="7"/>
  <c r="AF17" i="7"/>
  <c r="W17" i="7" s="1"/>
  <c r="AB38" i="7"/>
  <c r="AB39" i="7" s="1"/>
  <c r="AB40" i="7" s="1"/>
  <c r="AE34" i="5"/>
  <c r="V34" i="5" s="1"/>
  <c r="AC32" i="5"/>
  <c r="AG32" i="5" s="1"/>
  <c r="AC29" i="5"/>
  <c r="AG29" i="5" s="1"/>
  <c r="AS38" i="5"/>
  <c r="AE28" i="5"/>
  <c r="V28" i="5" s="1"/>
  <c r="AF27" i="5"/>
  <c r="W27" i="5" s="1"/>
  <c r="AC26" i="5"/>
  <c r="AG26" i="5" s="1"/>
  <c r="AF25" i="5"/>
  <c r="W25" i="5" s="1"/>
  <c r="AB38" i="5"/>
  <c r="AB39" i="5" s="1"/>
  <c r="AB40" i="5" s="1"/>
  <c r="AE21" i="5"/>
  <c r="V21" i="5" s="1"/>
  <c r="AF18" i="5"/>
  <c r="W18" i="5" s="1"/>
  <c r="AE18" i="5"/>
  <c r="V18" i="5" s="1"/>
  <c r="AI38" i="5"/>
  <c r="AI39" i="5" s="1"/>
  <c r="AI40" i="5" s="1"/>
  <c r="AP38" i="5"/>
  <c r="AR38" i="5"/>
  <c r="AC24" i="5"/>
  <c r="AG24" i="5" s="1"/>
  <c r="AC38" i="5"/>
  <c r="AC39" i="5" s="1"/>
  <c r="AC40" i="5" s="1"/>
  <c r="AQ38" i="5"/>
  <c r="AF23" i="5"/>
  <c r="W23" i="5" s="1"/>
  <c r="AF16" i="5"/>
  <c r="W16" i="5" s="1"/>
  <c r="AN39" i="5"/>
  <c r="H42" i="5" s="1"/>
  <c r="AU8" i="5"/>
  <c r="AF34" i="4"/>
  <c r="W34" i="4" s="1"/>
  <c r="AE32" i="4"/>
  <c r="V32" i="4" s="1"/>
  <c r="AE33" i="4"/>
  <c r="V33" i="4" s="1"/>
  <c r="AC32" i="4"/>
  <c r="AG32" i="4" s="1"/>
  <c r="AC28" i="4"/>
  <c r="AG28" i="4" s="1"/>
  <c r="AE28" i="4"/>
  <c r="V28" i="4" s="1"/>
  <c r="AK35" i="3"/>
  <c r="AE32" i="3"/>
  <c r="V32" i="3" s="1"/>
  <c r="AC30" i="3"/>
  <c r="AG30" i="3" s="1"/>
  <c r="AC21" i="3"/>
  <c r="AG21" i="3" s="1"/>
  <c r="AE22" i="3"/>
  <c r="V22" i="3" s="1"/>
  <c r="AC15" i="3"/>
  <c r="AG15" i="3" s="1"/>
  <c r="AC17" i="3"/>
  <c r="AG17" i="3" s="1"/>
  <c r="AK14" i="3"/>
  <c r="AV11" i="11"/>
  <c r="AU11" i="11"/>
  <c r="N11" i="11" s="1"/>
  <c r="AU10" i="11"/>
  <c r="N10" i="11" s="1"/>
  <c r="AF13" i="3"/>
  <c r="W13" i="3" s="1"/>
  <c r="AF12" i="3"/>
  <c r="W12" i="3" s="1"/>
  <c r="AC23" i="3"/>
  <c r="AG23" i="3" s="1"/>
  <c r="AC19" i="3"/>
  <c r="AG19" i="3" s="1"/>
  <c r="AB38" i="3"/>
  <c r="AB39" i="3" s="1"/>
  <c r="AB40" i="3" s="1"/>
  <c r="AC10" i="3"/>
  <c r="AG10" i="3" s="1"/>
  <c r="AF23" i="3"/>
  <c r="W23" i="3" s="1"/>
  <c r="AE31" i="3"/>
  <c r="V31" i="3" s="1"/>
  <c r="AF25" i="3"/>
  <c r="W25" i="3" s="1"/>
  <c r="AC25" i="3"/>
  <c r="AG25" i="3" s="1"/>
  <c r="AK21" i="3"/>
  <c r="AF8" i="3"/>
  <c r="W8" i="3" s="1"/>
  <c r="AV10" i="6"/>
  <c r="AU10" i="6"/>
  <c r="AC11" i="3"/>
  <c r="AG11" i="3" s="1"/>
  <c r="AC8" i="3"/>
  <c r="AG8" i="3" s="1"/>
  <c r="AI38" i="3"/>
  <c r="AI39" i="3" s="1"/>
  <c r="AI40" i="3" s="1"/>
  <c r="AQ38" i="3"/>
  <c r="AR38" i="3"/>
  <c r="AF7" i="3"/>
  <c r="W7" i="3" s="1"/>
  <c r="AE7" i="3"/>
  <c r="V7" i="3" s="1"/>
  <c r="AC29" i="4"/>
  <c r="AG29" i="4" s="1"/>
  <c r="AE11" i="4"/>
  <c r="V11" i="4" s="1"/>
  <c r="AC23" i="4"/>
  <c r="AG23" i="4" s="1"/>
  <c r="AC31" i="4"/>
  <c r="AG31" i="4" s="1"/>
  <c r="AE22" i="4"/>
  <c r="V22" i="4" s="1"/>
  <c r="AE21" i="4"/>
  <c r="V21" i="4" s="1"/>
  <c r="AF15" i="4"/>
  <c r="W15" i="4" s="1"/>
  <c r="AE9" i="4"/>
  <c r="AF29" i="4"/>
  <c r="W29" i="4" s="1"/>
  <c r="AC21" i="4"/>
  <c r="AG21" i="4" s="1"/>
  <c r="AF14" i="4"/>
  <c r="W14" i="4" s="1"/>
  <c r="AF23" i="4"/>
  <c r="W23" i="4" s="1"/>
  <c r="AE14" i="4"/>
  <c r="V14" i="4" s="1"/>
  <c r="AC20" i="4"/>
  <c r="AG20" i="4" s="1"/>
  <c r="AE19" i="4"/>
  <c r="V19" i="4" s="1"/>
  <c r="AF16" i="4"/>
  <c r="W16" i="4" s="1"/>
  <c r="AC15" i="4"/>
  <c r="AG15" i="4" s="1"/>
  <c r="AF13" i="4"/>
  <c r="W13" i="4" s="1"/>
  <c r="AF12" i="4"/>
  <c r="W12" i="4" s="1"/>
  <c r="AF9" i="4"/>
  <c r="AF7" i="4"/>
  <c r="W7" i="4" s="1"/>
  <c r="AF32" i="4"/>
  <c r="W32" i="4" s="1"/>
  <c r="AC24" i="4"/>
  <c r="AG24" i="4" s="1"/>
  <c r="AE18" i="4"/>
  <c r="V18" i="4" s="1"/>
  <c r="AF17" i="4"/>
  <c r="W17" i="4" s="1"/>
  <c r="AE17" i="4"/>
  <c r="V17" i="4" s="1"/>
  <c r="AF11" i="4"/>
  <c r="W11" i="4" s="1"/>
  <c r="AE10" i="4"/>
  <c r="V10" i="4" s="1"/>
  <c r="AF10" i="4"/>
  <c r="W10" i="4" s="1"/>
  <c r="AU8" i="4"/>
  <c r="AE24" i="4"/>
  <c r="V24" i="4" s="1"/>
  <c r="AC22" i="4"/>
  <c r="AG22" i="4" s="1"/>
  <c r="AE12" i="4"/>
  <c r="V12" i="4" s="1"/>
  <c r="AF21" i="4"/>
  <c r="W21" i="4" s="1"/>
  <c r="AC17" i="4"/>
  <c r="AG17" i="4" s="1"/>
  <c r="AE34" i="4"/>
  <c r="V34" i="4" s="1"/>
  <c r="AE25" i="4"/>
  <c r="V25" i="4" s="1"/>
  <c r="AC9" i="4"/>
  <c r="AF27" i="4"/>
  <c r="W27" i="4" s="1"/>
  <c r="AF28" i="4"/>
  <c r="W28" i="4" s="1"/>
  <c r="AF14" i="5"/>
  <c r="W14" i="5" s="1"/>
  <c r="AE38" i="5"/>
  <c r="AE39" i="5" s="1"/>
  <c r="AE40" i="5" s="1"/>
  <c r="S31" i="11"/>
  <c r="M46" i="11" s="1"/>
  <c r="U46" i="11" s="1"/>
  <c r="AS37" i="11"/>
  <c r="T29" i="11"/>
  <c r="M47" i="11" s="1"/>
  <c r="U47" i="11" s="1"/>
  <c r="AP37" i="11"/>
  <c r="AF9" i="12"/>
  <c r="W9" i="12" s="1"/>
  <c r="AE9" i="12"/>
  <c r="V9" i="12" s="1"/>
  <c r="AE38" i="12"/>
  <c r="AE39" i="12" s="1"/>
  <c r="AE40" i="12" s="1"/>
  <c r="AT38" i="12"/>
  <c r="AE36" i="11"/>
  <c r="V36" i="11" s="1"/>
  <c r="AQ37" i="11"/>
  <c r="AE31" i="11"/>
  <c r="V31" i="11" s="1"/>
  <c r="AC31" i="11"/>
  <c r="AG31" i="11" s="1"/>
  <c r="AB37" i="11"/>
  <c r="AB38" i="11" s="1"/>
  <c r="AB39" i="11" s="1"/>
  <c r="Q28" i="12"/>
  <c r="M45" i="12" s="1"/>
  <c r="U45" i="12" s="1"/>
  <c r="AQ38" i="12"/>
  <c r="AR37" i="11"/>
  <c r="AC32" i="11"/>
  <c r="AG32" i="11" s="1"/>
  <c r="AE35" i="11"/>
  <c r="V35" i="11" s="1"/>
  <c r="AF31" i="11"/>
  <c r="W31" i="11" s="1"/>
  <c r="AE28" i="11"/>
  <c r="V28" i="11" s="1"/>
  <c r="AC27" i="11"/>
  <c r="AG27" i="11" s="1"/>
  <c r="AC20" i="11"/>
  <c r="AG20" i="11" s="1"/>
  <c r="AE20" i="11"/>
  <c r="V20" i="11" s="1"/>
  <c r="AC10" i="11"/>
  <c r="AE28" i="12"/>
  <c r="V28" i="12" s="1"/>
  <c r="AC28" i="12"/>
  <c r="AG28" i="12" s="1"/>
  <c r="AE13" i="12"/>
  <c r="V13" i="12" s="1"/>
  <c r="AF35" i="11"/>
  <c r="W35" i="11" s="1"/>
  <c r="AC14" i="11"/>
  <c r="AG14" i="11" s="1"/>
  <c r="AE14" i="11"/>
  <c r="V14" i="11" s="1"/>
  <c r="AE24" i="12"/>
  <c r="V24" i="12" s="1"/>
  <c r="AC24" i="12"/>
  <c r="AG24" i="12" s="1"/>
  <c r="AE32" i="11"/>
  <c r="V32" i="11" s="1"/>
  <c r="AV9" i="6"/>
  <c r="AU9" i="6"/>
  <c r="AF18" i="11"/>
  <c r="W18" i="11" s="1"/>
  <c r="AE14" i="12"/>
  <c r="V14" i="12" s="1"/>
  <c r="AC14" i="12"/>
  <c r="AE23" i="11"/>
  <c r="V23" i="11" s="1"/>
  <c r="AE21" i="12"/>
  <c r="V21" i="12" s="1"/>
  <c r="AC17" i="12"/>
  <c r="AG17" i="12" s="1"/>
  <c r="AC16" i="12"/>
  <c r="AG16" i="12" s="1"/>
  <c r="AC28" i="13"/>
  <c r="AG28" i="13" s="1"/>
  <c r="AF27" i="13"/>
  <c r="W27" i="13" s="1"/>
  <c r="AC10" i="7"/>
  <c r="AC22" i="5"/>
  <c r="AG22" i="5" s="1"/>
  <c r="AE30" i="12"/>
  <c r="V30" i="12" s="1"/>
  <c r="AC20" i="5"/>
  <c r="AG20" i="5" s="1"/>
  <c r="AE20" i="5"/>
  <c r="V20" i="5" s="1"/>
  <c r="AE10" i="11"/>
  <c r="V10" i="11" s="1"/>
  <c r="AF30" i="5"/>
  <c r="W30" i="5" s="1"/>
  <c r="AC20" i="7"/>
  <c r="AG20" i="7" s="1"/>
  <c r="AE20" i="7"/>
  <c r="V20" i="7" s="1"/>
  <c r="AF30" i="13"/>
  <c r="W30" i="13" s="1"/>
  <c r="AF29" i="13"/>
  <c r="W29" i="13" s="1"/>
  <c r="AC14" i="13"/>
  <c r="AE24" i="7"/>
  <c r="V24" i="7" s="1"/>
  <c r="AE30" i="5"/>
  <c r="V30" i="5" s="1"/>
  <c r="AC18" i="5"/>
  <c r="AG18" i="5" s="1"/>
  <c r="AE14" i="5"/>
  <c r="V14" i="5" s="1"/>
  <c r="AF31" i="7"/>
  <c r="W31" i="7" s="1"/>
  <c r="AC16" i="5"/>
  <c r="AG16" i="5" s="1"/>
  <c r="AK17" i="7"/>
  <c r="AE9" i="5"/>
  <c r="V9" i="5" s="1"/>
  <c r="AC9" i="5"/>
  <c r="AF13" i="5"/>
  <c r="W13" i="5" s="1"/>
  <c r="AE35" i="8"/>
  <c r="V35" i="8" s="1"/>
  <c r="AE13" i="8"/>
  <c r="V13" i="8" s="1"/>
  <c r="AE11" i="9"/>
  <c r="V11" i="9" s="1"/>
  <c r="AE9" i="9"/>
  <c r="V9" i="9" s="1"/>
  <c r="AV9" i="9"/>
  <c r="AU9" i="9"/>
  <c r="N9" i="9" s="1"/>
  <c r="AF10" i="14"/>
  <c r="W10" i="14" s="1"/>
  <c r="AE10" i="14"/>
  <c r="V10" i="14" s="1"/>
  <c r="AE30" i="4"/>
  <c r="V30" i="4" s="1"/>
  <c r="AC30" i="4"/>
  <c r="AE26" i="8"/>
  <c r="V26" i="8" s="1"/>
  <c r="AE7" i="8"/>
  <c r="V7" i="8" s="1"/>
  <c r="AC34" i="9"/>
  <c r="AK16" i="9"/>
  <c r="AC24" i="14"/>
  <c r="AG24" i="14" s="1"/>
  <c r="AC22" i="14"/>
  <c r="AG22" i="14" s="1"/>
  <c r="AE22" i="14"/>
  <c r="V22" i="14" s="1"/>
  <c r="AE23" i="9"/>
  <c r="V23" i="9" s="1"/>
  <c r="AE14" i="9"/>
  <c r="V14" i="9" s="1"/>
  <c r="AE7" i="9"/>
  <c r="V7" i="9" s="1"/>
  <c r="AS38" i="3"/>
  <c r="AE38" i="3"/>
  <c r="AE39" i="3" s="1"/>
  <c r="AE40" i="3" s="1"/>
  <c r="AF26" i="4"/>
  <c r="W26" i="4" s="1"/>
  <c r="AC34" i="8"/>
  <c r="AE31" i="9"/>
  <c r="V31" i="9" s="1"/>
  <c r="AC38" i="3"/>
  <c r="AC39" i="3" s="1"/>
  <c r="AC40" i="3" s="1"/>
  <c r="AE26" i="4"/>
  <c r="V26" i="4" s="1"/>
  <c r="AV8" i="9"/>
  <c r="AE29" i="4"/>
  <c r="V29" i="4" s="1"/>
  <c r="AE30" i="14"/>
  <c r="V30" i="14" s="1"/>
  <c r="AC25" i="14"/>
  <c r="AG25" i="14" s="1"/>
  <c r="AE14" i="14"/>
  <c r="V14" i="14" s="1"/>
  <c r="AF33" i="10"/>
  <c r="W33" i="10" s="1"/>
  <c r="AF29" i="10"/>
  <c r="W29" i="10" s="1"/>
  <c r="AC26" i="6"/>
  <c r="AG26" i="6" s="1"/>
  <c r="AE26" i="6"/>
  <c r="V26" i="6" s="1"/>
  <c r="AC7" i="6"/>
  <c r="AE38" i="14"/>
  <c r="AE39" i="14" s="1"/>
  <c r="AE40" i="14" s="1"/>
  <c r="AC38" i="14"/>
  <c r="AC39" i="14" s="1"/>
  <c r="AC40" i="14" s="1"/>
  <c r="AC21" i="10"/>
  <c r="AE21" i="10"/>
  <c r="V21" i="10" s="1"/>
  <c r="AP38" i="14"/>
  <c r="AC17" i="6"/>
  <c r="AG17" i="6" s="1"/>
  <c r="AE33" i="10"/>
  <c r="V33" i="10" s="1"/>
  <c r="AE24" i="10"/>
  <c r="V24" i="10" s="1"/>
  <c r="AC19" i="6"/>
  <c r="AG19" i="6" s="1"/>
  <c r="AE19" i="6"/>
  <c r="V19" i="6" s="1"/>
  <c r="AC33" i="10"/>
  <c r="AG33" i="10" s="1"/>
  <c r="AE23" i="10"/>
  <c r="V23" i="10" s="1"/>
  <c r="AE17" i="6"/>
  <c r="V17" i="6" s="1"/>
  <c r="AK7" i="10"/>
  <c r="AE15" i="10"/>
  <c r="V15" i="10" s="1"/>
  <c r="AE34" i="6"/>
  <c r="V34" i="6" s="1"/>
  <c r="AE11" i="14"/>
  <c r="V11" i="14" s="1"/>
  <c r="AQ38" i="14"/>
  <c r="T11" i="14"/>
  <c r="M48" i="14" s="1"/>
  <c r="U48" i="14" s="1"/>
  <c r="AR38" i="14"/>
  <c r="AB38" i="14"/>
  <c r="AB39" i="14" s="1"/>
  <c r="AB40" i="14" s="1"/>
  <c r="AC11" i="14"/>
  <c r="AG11" i="14" s="1"/>
  <c r="AF11" i="14"/>
  <c r="W11" i="14" s="1"/>
  <c r="AK37" i="11"/>
  <c r="AK38" i="11" s="1"/>
  <c r="AK39" i="11" s="1"/>
  <c r="B34" i="15" s="1"/>
  <c r="AK38" i="5"/>
  <c r="AK39" i="5" s="1"/>
  <c r="AK40" i="5" s="1"/>
  <c r="E28" i="15" s="1"/>
  <c r="AP38" i="3"/>
  <c r="AJ20" i="3"/>
  <c r="U4" i="6"/>
  <c r="U4" i="7" s="1"/>
  <c r="U4" i="8" s="1"/>
  <c r="U4" i="10"/>
  <c r="S37" i="3"/>
  <c r="M47" i="3" s="1"/>
  <c r="U47" i="3" s="1"/>
  <c r="AE37" i="3"/>
  <c r="V37" i="3" s="1"/>
  <c r="AF37" i="3"/>
  <c r="W37" i="3" s="1"/>
  <c r="AN39" i="3"/>
  <c r="H42" i="3" s="1"/>
  <c r="AU9" i="3"/>
  <c r="N9" i="3" s="1"/>
  <c r="AW14" i="3"/>
  <c r="AV9" i="3"/>
  <c r="AT38" i="3"/>
  <c r="AM38" i="3" s="1"/>
  <c r="AK11" i="12" l="1"/>
  <c r="AK16" i="10"/>
  <c r="AK20" i="7"/>
  <c r="AK12" i="6"/>
  <c r="AK26" i="6"/>
  <c r="AK33" i="4"/>
  <c r="AK16" i="13"/>
  <c r="U44" i="4"/>
  <c r="M45" i="4"/>
  <c r="U45" i="4" s="1"/>
  <c r="M46" i="4"/>
  <c r="U46" i="4" s="1"/>
  <c r="AK7" i="4"/>
  <c r="U7" i="4"/>
  <c r="AJ7" i="4" s="1"/>
  <c r="U14" i="4"/>
  <c r="AJ14" i="4" s="1"/>
  <c r="AK15" i="4"/>
  <c r="AJ15" i="4"/>
  <c r="AK8" i="4"/>
  <c r="AJ8" i="4"/>
  <c r="AK21" i="4"/>
  <c r="U21" i="4"/>
  <c r="AJ21" i="4" s="1"/>
  <c r="AK22" i="4"/>
  <c r="AJ22" i="4"/>
  <c r="AK29" i="4"/>
  <c r="AJ29" i="4"/>
  <c r="AK28" i="4"/>
  <c r="U28" i="4"/>
  <c r="AJ28" i="4" s="1"/>
  <c r="AF36" i="4"/>
  <c r="AF37" i="4" s="1"/>
  <c r="AF38" i="4" s="1"/>
  <c r="M41" i="4" s="1"/>
  <c r="AD36" i="4"/>
  <c r="AD37" i="4" s="1"/>
  <c r="AD38" i="4" s="1"/>
  <c r="C27" i="15" s="1"/>
  <c r="AG36" i="4"/>
  <c r="AG37" i="4" s="1"/>
  <c r="AG38" i="4" s="1"/>
  <c r="M42" i="4" s="1"/>
  <c r="AV12" i="11"/>
  <c r="AU38" i="10"/>
  <c r="M54" i="10" s="1"/>
  <c r="M50" i="10"/>
  <c r="AF46" i="10" s="1"/>
  <c r="AI39" i="7"/>
  <c r="AI40" i="7" s="1"/>
  <c r="AK36" i="7"/>
  <c r="M52" i="4"/>
  <c r="AJ15" i="7"/>
  <c r="AK22" i="7"/>
  <c r="AD44" i="10"/>
  <c r="AF43" i="8"/>
  <c r="W9" i="4"/>
  <c r="AG9" i="4"/>
  <c r="V9" i="4"/>
  <c r="AE44" i="5"/>
  <c r="AE44" i="7"/>
  <c r="AF45" i="14"/>
  <c r="AD44" i="9"/>
  <c r="AM37" i="8"/>
  <c r="M49" i="8" s="1"/>
  <c r="AK19" i="4"/>
  <c r="AM38" i="9"/>
  <c r="AK12" i="4"/>
  <c r="AE42" i="13"/>
  <c r="AD43" i="9"/>
  <c r="AK29" i="7"/>
  <c r="AK26" i="4"/>
  <c r="AM37" i="13"/>
  <c r="M49" i="13" s="1"/>
  <c r="AK8" i="13"/>
  <c r="AJ8" i="13"/>
  <c r="M7" i="13"/>
  <c r="M8" i="13" s="1"/>
  <c r="AK7" i="13"/>
  <c r="AF42" i="6"/>
  <c r="AF42" i="11"/>
  <c r="AE43" i="7"/>
  <c r="AM38" i="11"/>
  <c r="U49" i="11" s="1"/>
  <c r="AK7" i="11"/>
  <c r="AB41" i="11" s="1"/>
  <c r="AK21" i="10"/>
  <c r="AB43" i="10" s="1"/>
  <c r="AJ21" i="10"/>
  <c r="AK38" i="10" s="1"/>
  <c r="AK39" i="10" s="1"/>
  <c r="AK40" i="10" s="1"/>
  <c r="M42" i="10" s="1"/>
  <c r="AM38" i="7"/>
  <c r="M50" i="7" s="1"/>
  <c r="AF46" i="7" s="1"/>
  <c r="AK35" i="7"/>
  <c r="AK24" i="7"/>
  <c r="AJ24" i="7"/>
  <c r="AK15" i="7"/>
  <c r="AU38" i="14"/>
  <c r="M54" i="14" s="1"/>
  <c r="AK8" i="7"/>
  <c r="AE43" i="4"/>
  <c r="AP47" i="4"/>
  <c r="AQ47" i="4" s="1"/>
  <c r="AK40" i="4"/>
  <c r="AK16" i="6"/>
  <c r="AU12" i="11"/>
  <c r="N12" i="11" s="1"/>
  <c r="AK30" i="7"/>
  <c r="AK14" i="4"/>
  <c r="AK32" i="7"/>
  <c r="AK24" i="6"/>
  <c r="AJ24" i="6"/>
  <c r="AK21" i="13"/>
  <c r="AK11" i="6"/>
  <c r="AJ11" i="6"/>
  <c r="AK17" i="13"/>
  <c r="AJ17" i="13"/>
  <c r="AK27" i="9"/>
  <c r="AB44" i="9" s="1"/>
  <c r="AJ27" i="9"/>
  <c r="AK38" i="9" s="1"/>
  <c r="AK39" i="9" s="1"/>
  <c r="AK40" i="9" s="1"/>
  <c r="M42" i="9" s="1"/>
  <c r="AK19" i="7"/>
  <c r="AJ19" i="7"/>
  <c r="AU8" i="7"/>
  <c r="AV8" i="7"/>
  <c r="AK12" i="3"/>
  <c r="M7" i="9"/>
  <c r="M8" i="9" s="1"/>
  <c r="P8" i="9" s="1"/>
  <c r="AK27" i="7"/>
  <c r="AJ27" i="7"/>
  <c r="AU8" i="13"/>
  <c r="AK7" i="8"/>
  <c r="AB41" i="8" s="1"/>
  <c r="AJ7" i="8"/>
  <c r="AK37" i="8" s="1"/>
  <c r="AK38" i="8" s="1"/>
  <c r="AK39" i="8" s="1"/>
  <c r="E31" i="15" s="1"/>
  <c r="AJ19" i="6"/>
  <c r="AK19" i="6"/>
  <c r="AK31" i="14"/>
  <c r="AB41" i="14" s="1"/>
  <c r="AJ31" i="14"/>
  <c r="AK38" i="14" s="1"/>
  <c r="AK39" i="14" s="1"/>
  <c r="AK40" i="14" s="1"/>
  <c r="B37" i="15" s="1"/>
  <c r="AF37" i="13"/>
  <c r="AF38" i="13" s="1"/>
  <c r="AF39" i="13" s="1"/>
  <c r="AW16" i="6"/>
  <c r="AW17" i="6" s="1"/>
  <c r="AV11" i="10"/>
  <c r="AV8" i="5"/>
  <c r="AJ7" i="3"/>
  <c r="AJ7" i="7"/>
  <c r="AJ28" i="6"/>
  <c r="AK28" i="6"/>
  <c r="AK7" i="7"/>
  <c r="AB43" i="12"/>
  <c r="M7" i="3"/>
  <c r="M8" i="3" s="1"/>
  <c r="AK7" i="3"/>
  <c r="M8" i="11"/>
  <c r="P8" i="11" s="1"/>
  <c r="AK42" i="7"/>
  <c r="AK42" i="9"/>
  <c r="AQ48" i="9"/>
  <c r="AS48" i="9" s="1"/>
  <c r="AK48" i="9" s="1"/>
  <c r="Y44" i="9" s="1"/>
  <c r="U54" i="9" s="1"/>
  <c r="AP48" i="10"/>
  <c r="AR48" i="10" s="1"/>
  <c r="AQ48" i="7"/>
  <c r="AS48" i="7" s="1"/>
  <c r="AK48" i="7" s="1"/>
  <c r="AK41" i="13"/>
  <c r="AV10" i="8"/>
  <c r="AU10" i="8"/>
  <c r="AB45" i="12"/>
  <c r="AM38" i="5"/>
  <c r="AU38" i="5"/>
  <c r="M54" i="5" s="1"/>
  <c r="AP47" i="11"/>
  <c r="AK41" i="11"/>
  <c r="AP47" i="8"/>
  <c r="AK41" i="8"/>
  <c r="AG37" i="8"/>
  <c r="AG38" i="8" s="1"/>
  <c r="AG39" i="8" s="1"/>
  <c r="M43" i="8" s="1"/>
  <c r="AP48" i="5"/>
  <c r="AK42" i="5"/>
  <c r="AV10" i="14"/>
  <c r="AU10" i="14"/>
  <c r="AG38" i="14"/>
  <c r="AG39" i="14" s="1"/>
  <c r="AG40" i="14" s="1"/>
  <c r="AU9" i="14"/>
  <c r="AV9" i="14"/>
  <c r="M50" i="14"/>
  <c r="AM39" i="14"/>
  <c r="U50" i="14" s="1"/>
  <c r="AW17" i="12"/>
  <c r="AW18" i="12" s="1"/>
  <c r="AV13" i="12"/>
  <c r="AU13" i="12"/>
  <c r="AV9" i="13"/>
  <c r="AU9" i="13"/>
  <c r="N9" i="13" s="1"/>
  <c r="AG38" i="9"/>
  <c r="AG39" i="9" s="1"/>
  <c r="AG40" i="9" s="1"/>
  <c r="M44" i="9" s="1"/>
  <c r="AF43" i="6"/>
  <c r="AJ8" i="6"/>
  <c r="AK8" i="6"/>
  <c r="AG37" i="6"/>
  <c r="AG38" i="6" s="1"/>
  <c r="AG39" i="6" s="1"/>
  <c r="M43" i="6" s="1"/>
  <c r="AV11" i="6"/>
  <c r="AU11" i="6"/>
  <c r="AK7" i="5"/>
  <c r="AB45" i="5" s="1"/>
  <c r="AK9" i="4"/>
  <c r="AJ9" i="4"/>
  <c r="AH38" i="3"/>
  <c r="AH39" i="3" s="1"/>
  <c r="AH40" i="3" s="1"/>
  <c r="AD38" i="3"/>
  <c r="AD39" i="3" s="1"/>
  <c r="AD40" i="3" s="1"/>
  <c r="C26" i="15" s="1"/>
  <c r="AK9" i="3"/>
  <c r="AJ9" i="3"/>
  <c r="AK8" i="3"/>
  <c r="AJ8" i="3"/>
  <c r="AE42" i="4"/>
  <c r="AE43" i="12"/>
  <c r="AB44" i="12"/>
  <c r="AP49" i="14"/>
  <c r="AK43" i="14"/>
  <c r="AG38" i="5"/>
  <c r="AG39" i="5" s="1"/>
  <c r="AG40" i="5" s="1"/>
  <c r="M44" i="5" s="1"/>
  <c r="AE44" i="12"/>
  <c r="AP48" i="3"/>
  <c r="AG34" i="9"/>
  <c r="AH38" i="9" s="1"/>
  <c r="AH39" i="9" s="1"/>
  <c r="AH40" i="9" s="1"/>
  <c r="AD38" i="9"/>
  <c r="AD39" i="9" s="1"/>
  <c r="AD40" i="9" s="1"/>
  <c r="C32" i="15" s="1"/>
  <c r="AG38" i="7"/>
  <c r="AG39" i="7" s="1"/>
  <c r="AG40" i="7" s="1"/>
  <c r="M44" i="7" s="1"/>
  <c r="AF37" i="11"/>
  <c r="AF38" i="11" s="1"/>
  <c r="AF39" i="11" s="1"/>
  <c r="M42" i="11" s="1"/>
  <c r="AM38" i="12"/>
  <c r="AU38" i="12"/>
  <c r="M54" i="12" s="1"/>
  <c r="AE43" i="5"/>
  <c r="AF38" i="10"/>
  <c r="AF39" i="10" s="1"/>
  <c r="AF40" i="10" s="1"/>
  <c r="M43" i="10" s="1"/>
  <c r="AP47" i="6"/>
  <c r="AK41" i="6"/>
  <c r="AG7" i="6"/>
  <c r="AH37" i="6" s="1"/>
  <c r="AH38" i="6" s="1"/>
  <c r="AH39" i="6" s="1"/>
  <c r="AD37" i="6"/>
  <c r="AD38" i="6" s="1"/>
  <c r="AD39" i="6" s="1"/>
  <c r="C29" i="15" s="1"/>
  <c r="AF38" i="9"/>
  <c r="AF39" i="9" s="1"/>
  <c r="AF40" i="9" s="1"/>
  <c r="M43" i="9" s="1"/>
  <c r="AF37" i="8"/>
  <c r="AF38" i="8" s="1"/>
  <c r="AF39" i="8" s="1"/>
  <c r="M42" i="8" s="1"/>
  <c r="AG14" i="12"/>
  <c r="AH38" i="12" s="1"/>
  <c r="AH39" i="12" s="1"/>
  <c r="AH40" i="12" s="1"/>
  <c r="AD38" i="12"/>
  <c r="AD39" i="12" s="1"/>
  <c r="AD40" i="12" s="1"/>
  <c r="C35" i="15" s="1"/>
  <c r="AQ47" i="13"/>
  <c r="AR47" i="13"/>
  <c r="AG21" i="10"/>
  <c r="AH38" i="10" s="1"/>
  <c r="AH39" i="10" s="1"/>
  <c r="AH40" i="10" s="1"/>
  <c r="AD38" i="10"/>
  <c r="AD39" i="10" s="1"/>
  <c r="AD40" i="10" s="1"/>
  <c r="C33" i="15" s="1"/>
  <c r="AV10" i="9"/>
  <c r="AU10" i="9"/>
  <c r="N10" i="9" s="1"/>
  <c r="AG10" i="7"/>
  <c r="AH38" i="7" s="1"/>
  <c r="AH39" i="7" s="1"/>
  <c r="AH40" i="7" s="1"/>
  <c r="AD38" i="7"/>
  <c r="AD39" i="7" s="1"/>
  <c r="AD40" i="7" s="1"/>
  <c r="C30" i="15" s="1"/>
  <c r="AG10" i="11"/>
  <c r="AH37" i="11" s="1"/>
  <c r="AH38" i="11" s="1"/>
  <c r="AH39" i="11" s="1"/>
  <c r="AD37" i="11"/>
  <c r="AD38" i="11" s="1"/>
  <c r="AD39" i="11" s="1"/>
  <c r="C34" i="15" s="1"/>
  <c r="AF38" i="12"/>
  <c r="AF39" i="12" s="1"/>
  <c r="AF40" i="12" s="1"/>
  <c r="M43" i="12" s="1"/>
  <c r="AG14" i="13"/>
  <c r="AH37" i="13" s="1"/>
  <c r="AH38" i="13" s="1"/>
  <c r="AH39" i="13" s="1"/>
  <c r="AD37" i="13"/>
  <c r="AD38" i="13" s="1"/>
  <c r="AD39" i="13" s="1"/>
  <c r="C36" i="15" s="1"/>
  <c r="AF43" i="11"/>
  <c r="AH38" i="14"/>
  <c r="AH39" i="14" s="1"/>
  <c r="AH40" i="14" s="1"/>
  <c r="AF38" i="14"/>
  <c r="AF39" i="14" s="1"/>
  <c r="AF40" i="14" s="1"/>
  <c r="AG9" i="5"/>
  <c r="AH38" i="5" s="1"/>
  <c r="AH39" i="5" s="1"/>
  <c r="AH40" i="5" s="1"/>
  <c r="AD38" i="5"/>
  <c r="AD39" i="5" s="1"/>
  <c r="AD40" i="5" s="1"/>
  <c r="C28" i="15" s="1"/>
  <c r="AG37" i="13"/>
  <c r="AG38" i="13" s="1"/>
  <c r="AG39" i="13" s="1"/>
  <c r="M43" i="13" s="1"/>
  <c r="AP48" i="12"/>
  <c r="AK42" i="12"/>
  <c r="AG38" i="12"/>
  <c r="AG39" i="12" s="1"/>
  <c r="AG40" i="12" s="1"/>
  <c r="M44" i="12" s="1"/>
  <c r="AF37" i="6"/>
  <c r="AF38" i="6" s="1"/>
  <c r="AF39" i="6" s="1"/>
  <c r="M42" i="6" s="1"/>
  <c r="AM37" i="6"/>
  <c r="AG38" i="10"/>
  <c r="AG39" i="10" s="1"/>
  <c r="AG40" i="10" s="1"/>
  <c r="M44" i="10" s="1"/>
  <c r="AG30" i="4"/>
  <c r="AG37" i="11"/>
  <c r="AG38" i="11" s="1"/>
  <c r="AG39" i="11" s="1"/>
  <c r="M43" i="11" s="1"/>
  <c r="AE43" i="13"/>
  <c r="AG34" i="8"/>
  <c r="AH37" i="8" s="1"/>
  <c r="AH38" i="8" s="1"/>
  <c r="AH39" i="8" s="1"/>
  <c r="AD37" i="8"/>
  <c r="AD38" i="8" s="1"/>
  <c r="AD39" i="8" s="1"/>
  <c r="C31" i="15" s="1"/>
  <c r="AF38" i="7"/>
  <c r="AF39" i="7" s="1"/>
  <c r="AF40" i="7" s="1"/>
  <c r="M43" i="7" s="1"/>
  <c r="AF38" i="5"/>
  <c r="AF39" i="5" s="1"/>
  <c r="AF40" i="5" s="1"/>
  <c r="M43" i="5" s="1"/>
  <c r="AU12" i="6"/>
  <c r="AV12" i="6"/>
  <c r="P7" i="11"/>
  <c r="O7" i="11"/>
  <c r="AD38" i="14"/>
  <c r="AD39" i="14" s="1"/>
  <c r="AD40" i="14" s="1"/>
  <c r="C37" i="15" s="1"/>
  <c r="AF44" i="14"/>
  <c r="M42" i="12"/>
  <c r="E35" i="15"/>
  <c r="M41" i="11"/>
  <c r="E34" i="15"/>
  <c r="B28" i="15"/>
  <c r="M42" i="5"/>
  <c r="AG38" i="3"/>
  <c r="AG39" i="3" s="1"/>
  <c r="AG40" i="3" s="1"/>
  <c r="M44" i="3" s="1"/>
  <c r="AE43" i="3"/>
  <c r="AF38" i="3"/>
  <c r="AF39" i="3" s="1"/>
  <c r="AF40" i="3" s="1"/>
  <c r="M43" i="3" s="1"/>
  <c r="AE44" i="3"/>
  <c r="AV10" i="3"/>
  <c r="AU10" i="3"/>
  <c r="N10" i="3" s="1"/>
  <c r="AW15" i="3"/>
  <c r="AW16" i="3" s="1"/>
  <c r="AU38" i="3"/>
  <c r="M54" i="3" s="1"/>
  <c r="M50" i="3"/>
  <c r="AM39" i="3"/>
  <c r="U50" i="3" s="1"/>
  <c r="AH36" i="4" l="1"/>
  <c r="AH37" i="4" s="1"/>
  <c r="AH38" i="4" s="1"/>
  <c r="AW14" i="14"/>
  <c r="AW15" i="14" s="1"/>
  <c r="AW16" i="14" s="1"/>
  <c r="AW17" i="14" s="1"/>
  <c r="AW14" i="11"/>
  <c r="AW15" i="11" s="1"/>
  <c r="AW16" i="11" s="1"/>
  <c r="AK36" i="4"/>
  <c r="AK37" i="4" s="1"/>
  <c r="AK38" i="4" s="1"/>
  <c r="AB43" i="4"/>
  <c r="AB42" i="4"/>
  <c r="AB41" i="4"/>
  <c r="AM38" i="8"/>
  <c r="U49" i="8" s="1"/>
  <c r="AB44" i="10"/>
  <c r="AR47" i="4"/>
  <c r="AS47" i="4" s="1"/>
  <c r="AK47" i="4" s="1"/>
  <c r="M50" i="9"/>
  <c r="AF46" i="9" s="1"/>
  <c r="AM39" i="9"/>
  <c r="U50" i="9" s="1"/>
  <c r="AB45" i="10"/>
  <c r="AB42" i="11"/>
  <c r="AB40" i="11"/>
  <c r="P7" i="13"/>
  <c r="O7" i="13"/>
  <c r="AK37" i="13"/>
  <c r="AK38" i="13" s="1"/>
  <c r="AK39" i="13" s="1"/>
  <c r="E36" i="15" s="1"/>
  <c r="E33" i="15"/>
  <c r="G37" i="15"/>
  <c r="M44" i="14"/>
  <c r="F37" i="15"/>
  <c r="M43" i="14"/>
  <c r="AM38" i="13"/>
  <c r="U49" i="13" s="1"/>
  <c r="F36" i="15"/>
  <c r="M42" i="13"/>
  <c r="B33" i="15"/>
  <c r="AM39" i="7"/>
  <c r="U50" i="7" s="1"/>
  <c r="N8" i="13"/>
  <c r="P8" i="13" s="1"/>
  <c r="AU9" i="4"/>
  <c r="AW11" i="4"/>
  <c r="AV9" i="4"/>
  <c r="AU13" i="11"/>
  <c r="N13" i="11" s="1"/>
  <c r="AV13" i="11"/>
  <c r="AW15" i="10"/>
  <c r="AB43" i="13"/>
  <c r="AB43" i="9"/>
  <c r="AB45" i="9"/>
  <c r="AB44" i="13"/>
  <c r="AB42" i="13"/>
  <c r="E32" i="15"/>
  <c r="B32" i="15"/>
  <c r="O8" i="9"/>
  <c r="M9" i="9"/>
  <c r="P9" i="9" s="1"/>
  <c r="P7" i="9"/>
  <c r="O7" i="9"/>
  <c r="AU9" i="7"/>
  <c r="AV9" i="7"/>
  <c r="AB43" i="14"/>
  <c r="AB42" i="8"/>
  <c r="AB44" i="7"/>
  <c r="M41" i="8"/>
  <c r="AK38" i="7"/>
  <c r="AK39" i="7" s="1"/>
  <c r="AK40" i="7" s="1"/>
  <c r="B30" i="15" s="1"/>
  <c r="E37" i="15"/>
  <c r="AB40" i="8"/>
  <c r="B31" i="15"/>
  <c r="AU12" i="10"/>
  <c r="AV12" i="10"/>
  <c r="AB42" i="14"/>
  <c r="M42" i="14"/>
  <c r="AM37" i="4"/>
  <c r="U48" i="4" s="1"/>
  <c r="M48" i="4"/>
  <c r="AU9" i="5"/>
  <c r="AV9" i="5"/>
  <c r="AF42" i="8"/>
  <c r="AB45" i="7"/>
  <c r="H43" i="12"/>
  <c r="M9" i="11"/>
  <c r="O9" i="11" s="1"/>
  <c r="AB43" i="7"/>
  <c r="O8" i="11"/>
  <c r="AK37" i="6"/>
  <c r="AK38" i="6" s="1"/>
  <c r="AK39" i="6" s="1"/>
  <c r="B29" i="15" s="1"/>
  <c r="P7" i="3"/>
  <c r="O7" i="3"/>
  <c r="AB43" i="5"/>
  <c r="AB44" i="5"/>
  <c r="AQ48" i="10"/>
  <c r="AS48" i="10" s="1"/>
  <c r="AK48" i="10" s="1"/>
  <c r="AK49" i="10" s="1"/>
  <c r="AK49" i="7"/>
  <c r="Y44" i="7"/>
  <c r="U54" i="7" s="1"/>
  <c r="AK49" i="9"/>
  <c r="AS47" i="13"/>
  <c r="AK47" i="13" s="1"/>
  <c r="AK48" i="13" s="1"/>
  <c r="AB44" i="3"/>
  <c r="AR48" i="5"/>
  <c r="AQ48" i="5"/>
  <c r="AR47" i="11"/>
  <c r="AQ47" i="11"/>
  <c r="AQ47" i="8"/>
  <c r="AR47" i="8"/>
  <c r="AV11" i="8"/>
  <c r="AU11" i="8"/>
  <c r="AM39" i="5"/>
  <c r="U50" i="5" s="1"/>
  <c r="M50" i="5"/>
  <c r="G31" i="15"/>
  <c r="AU11" i="14"/>
  <c r="AV11" i="14"/>
  <c r="M9" i="13"/>
  <c r="O9" i="13" s="1"/>
  <c r="AU14" i="12"/>
  <c r="AV14" i="12"/>
  <c r="AW14" i="13"/>
  <c r="AW15" i="13" s="1"/>
  <c r="AU10" i="13"/>
  <c r="N10" i="13" s="1"/>
  <c r="AV10" i="13"/>
  <c r="G32" i="15"/>
  <c r="AB43" i="3"/>
  <c r="AB42" i="6"/>
  <c r="AB41" i="6"/>
  <c r="AB40" i="6"/>
  <c r="G29" i="15"/>
  <c r="AK38" i="3"/>
  <c r="AK39" i="3" s="1"/>
  <c r="AK40" i="3" s="1"/>
  <c r="M42" i="3" s="1"/>
  <c r="AU12" i="14"/>
  <c r="AV12" i="14"/>
  <c r="AB45" i="3"/>
  <c r="F30" i="15"/>
  <c r="F29" i="15"/>
  <c r="F35" i="15"/>
  <c r="AQ49" i="14"/>
  <c r="AR49" i="14"/>
  <c r="AW18" i="6"/>
  <c r="AU13" i="6"/>
  <c r="AV13" i="6"/>
  <c r="G35" i="15"/>
  <c r="G34" i="15"/>
  <c r="M49" i="6"/>
  <c r="AM38" i="6"/>
  <c r="U49" i="6" s="1"/>
  <c r="AQ47" i="6"/>
  <c r="AR47" i="6"/>
  <c r="M50" i="12"/>
  <c r="AM39" i="12"/>
  <c r="U50" i="12" s="1"/>
  <c r="AQ48" i="3"/>
  <c r="AR48" i="3"/>
  <c r="G27" i="15"/>
  <c r="F28" i="15"/>
  <c r="F31" i="15"/>
  <c r="F33" i="15"/>
  <c r="F34" i="15"/>
  <c r="G33" i="15"/>
  <c r="AD43" i="10"/>
  <c r="AU13" i="10"/>
  <c r="AV13" i="10"/>
  <c r="AQ48" i="12"/>
  <c r="AR48" i="12"/>
  <c r="G28" i="15"/>
  <c r="AW16" i="9"/>
  <c r="AU11" i="9"/>
  <c r="N11" i="9" s="1"/>
  <c r="AV11" i="9"/>
  <c r="F27" i="15"/>
  <c r="G36" i="15"/>
  <c r="F32" i="15"/>
  <c r="G30" i="15"/>
  <c r="O8" i="3"/>
  <c r="M9" i="3"/>
  <c r="P8" i="3"/>
  <c r="F26" i="15"/>
  <c r="G26" i="15"/>
  <c r="AU11" i="3"/>
  <c r="N11" i="3" s="1"/>
  <c r="AV11" i="3"/>
  <c r="AW19" i="6" l="1"/>
  <c r="AW20" i="6" s="1"/>
  <c r="H43" i="10"/>
  <c r="AW15" i="8"/>
  <c r="AW16" i="8" s="1"/>
  <c r="AW17" i="8" s="1"/>
  <c r="H42" i="11"/>
  <c r="B36" i="15"/>
  <c r="M41" i="13"/>
  <c r="O8" i="13"/>
  <c r="AW12" i="5"/>
  <c r="AW14" i="5" s="1"/>
  <c r="AW12" i="4"/>
  <c r="AW17" i="11"/>
  <c r="AV14" i="11"/>
  <c r="AU14" i="11"/>
  <c r="N14" i="11" s="1"/>
  <c r="H43" i="9"/>
  <c r="H42" i="13"/>
  <c r="H42" i="8"/>
  <c r="AU10" i="4"/>
  <c r="AU11" i="4"/>
  <c r="AV11" i="4"/>
  <c r="AV10" i="4"/>
  <c r="O9" i="9"/>
  <c r="M10" i="9"/>
  <c r="P10" i="9" s="1"/>
  <c r="AV10" i="7"/>
  <c r="AU10" i="7"/>
  <c r="H43" i="14"/>
  <c r="E27" i="15"/>
  <c r="M40" i="4"/>
  <c r="B27" i="15"/>
  <c r="E30" i="15"/>
  <c r="M42" i="7"/>
  <c r="AV10" i="5"/>
  <c r="AU10" i="5"/>
  <c r="H43" i="7"/>
  <c r="E29" i="15"/>
  <c r="P9" i="11"/>
  <c r="M10" i="11"/>
  <c r="O10" i="11" s="1"/>
  <c r="H41" i="4"/>
  <c r="H43" i="5"/>
  <c r="M41" i="6"/>
  <c r="AS48" i="5"/>
  <c r="AK48" i="5" s="1"/>
  <c r="Y44" i="5" s="1"/>
  <c r="U54" i="5" s="1"/>
  <c r="AK43" i="9"/>
  <c r="U42" i="9" s="1"/>
  <c r="AH44" i="9"/>
  <c r="AH51" i="9"/>
  <c r="AH43" i="9"/>
  <c r="AH43" i="7"/>
  <c r="AK43" i="7"/>
  <c r="AH44" i="7"/>
  <c r="AH51" i="7"/>
  <c r="Y43" i="13"/>
  <c r="AS48" i="3"/>
  <c r="AK48" i="3" s="1"/>
  <c r="Y44" i="3" s="1"/>
  <c r="U54" i="3" s="1"/>
  <c r="H43" i="3"/>
  <c r="H45" i="3" s="1"/>
  <c r="H38" i="4" s="1"/>
  <c r="AV12" i="8"/>
  <c r="AU12" i="8"/>
  <c r="AS47" i="11"/>
  <c r="AK47" i="11" s="1"/>
  <c r="AS47" i="8"/>
  <c r="AK47" i="8" s="1"/>
  <c r="AS48" i="12"/>
  <c r="AK48" i="12" s="1"/>
  <c r="Y44" i="12" s="1"/>
  <c r="U54" i="12" s="1"/>
  <c r="M10" i="13"/>
  <c r="O10" i="13" s="1"/>
  <c r="P9" i="13"/>
  <c r="AU15" i="12"/>
  <c r="AV15" i="12"/>
  <c r="AV11" i="13"/>
  <c r="AU11" i="13" s="1"/>
  <c r="N11" i="13" s="1"/>
  <c r="B26" i="15"/>
  <c r="H42" i="6"/>
  <c r="E26" i="15"/>
  <c r="AS49" i="14"/>
  <c r="AK49" i="14" s="1"/>
  <c r="Y44" i="14" s="1"/>
  <c r="U54" i="14" s="1"/>
  <c r="Y44" i="10"/>
  <c r="U54" i="10" s="1"/>
  <c r="AS47" i="6"/>
  <c r="AK47" i="6" s="1"/>
  <c r="Y43" i="6" s="1"/>
  <c r="AV13" i="14"/>
  <c r="AU13" i="14"/>
  <c r="Y42" i="4"/>
  <c r="U52" i="4" s="1"/>
  <c r="AK48" i="4"/>
  <c r="AU14" i="10"/>
  <c r="AV14" i="10"/>
  <c r="AV14" i="6"/>
  <c r="AU14" i="6"/>
  <c r="AU12" i="9"/>
  <c r="N12" i="9" s="1"/>
  <c r="AV12" i="9"/>
  <c r="AH43" i="13"/>
  <c r="AH50" i="13"/>
  <c r="AH42" i="13"/>
  <c r="AK42" i="13"/>
  <c r="AH43" i="10"/>
  <c r="AH44" i="10"/>
  <c r="AH51" i="10"/>
  <c r="AK43" i="10"/>
  <c r="U42" i="10" s="1"/>
  <c r="M10" i="3"/>
  <c r="O9" i="3"/>
  <c r="P9" i="3"/>
  <c r="AU12" i="3"/>
  <c r="N12" i="3" s="1"/>
  <c r="AV12" i="3"/>
  <c r="AW19" i="12" l="1"/>
  <c r="AW20" i="12" s="1"/>
  <c r="AW21" i="12" s="1"/>
  <c r="AW17" i="10"/>
  <c r="AW18" i="10" s="1"/>
  <c r="AW19" i="10" s="1"/>
  <c r="AW20" i="10" s="1"/>
  <c r="U41" i="13"/>
  <c r="U42" i="7"/>
  <c r="AV12" i="4"/>
  <c r="AU12" i="4"/>
  <c r="AW14" i="4"/>
  <c r="AW16" i="4" s="1"/>
  <c r="AW17" i="4" s="1"/>
  <c r="AW17" i="3"/>
  <c r="AU15" i="11"/>
  <c r="N15" i="11" s="1"/>
  <c r="AV15" i="11"/>
  <c r="O10" i="9"/>
  <c r="M11" i="9"/>
  <c r="O11" i="9" s="1"/>
  <c r="AW14" i="7"/>
  <c r="AW15" i="7" s="1"/>
  <c r="AV11" i="7"/>
  <c r="AU11" i="7" s="1"/>
  <c r="H43" i="4"/>
  <c r="H40" i="5" s="1"/>
  <c r="H45" i="5" s="1"/>
  <c r="H39" i="6" s="1"/>
  <c r="H44" i="6" s="1"/>
  <c r="H40" i="7" s="1"/>
  <c r="H45" i="7" s="1"/>
  <c r="H39" i="8" s="1"/>
  <c r="H44" i="8" s="1"/>
  <c r="H40" i="9" s="1"/>
  <c r="H45" i="9" s="1"/>
  <c r="H40" i="10" s="1"/>
  <c r="H45" i="10" s="1"/>
  <c r="H39" i="11" s="1"/>
  <c r="H44" i="11" s="1"/>
  <c r="H40" i="12" s="1"/>
  <c r="H45" i="12" s="1"/>
  <c r="H39" i="13" s="1"/>
  <c r="H44" i="13" s="1"/>
  <c r="H40" i="14" s="1"/>
  <c r="H45" i="14" s="1"/>
  <c r="AV11" i="5"/>
  <c r="AU11" i="5"/>
  <c r="P10" i="11"/>
  <c r="M11" i="11"/>
  <c r="M12" i="11" s="1"/>
  <c r="P12" i="11" s="1"/>
  <c r="AK49" i="5"/>
  <c r="AH51" i="5" s="1"/>
  <c r="I32" i="15"/>
  <c r="AK51" i="7"/>
  <c r="U43" i="7" s="1"/>
  <c r="AK54" i="7"/>
  <c r="U52" i="7" s="1"/>
  <c r="AK55" i="7"/>
  <c r="U53" i="7" s="1"/>
  <c r="AK52" i="7"/>
  <c r="U44" i="7" s="1"/>
  <c r="AK52" i="9"/>
  <c r="U44" i="9" s="1"/>
  <c r="AK51" i="9"/>
  <c r="U43" i="9" s="1"/>
  <c r="AK54" i="9"/>
  <c r="U52" i="9" s="1"/>
  <c r="AK55" i="9"/>
  <c r="U53" i="9" s="1"/>
  <c r="I30" i="15"/>
  <c r="AK49" i="12"/>
  <c r="AH44" i="12" s="1"/>
  <c r="AK49" i="3"/>
  <c r="P10" i="13"/>
  <c r="M11" i="13"/>
  <c r="P11" i="13" s="1"/>
  <c r="AK48" i="8"/>
  <c r="Y43" i="8"/>
  <c r="AK48" i="11"/>
  <c r="Y43" i="11"/>
  <c r="AU13" i="8"/>
  <c r="AV13" i="8"/>
  <c r="AV16" i="12"/>
  <c r="AU16" i="12"/>
  <c r="AV12" i="13"/>
  <c r="AU12" i="13" s="1"/>
  <c r="N12" i="13" s="1"/>
  <c r="AK50" i="14"/>
  <c r="AH51" i="14" s="1"/>
  <c r="AK48" i="6"/>
  <c r="AH42" i="6" s="1"/>
  <c r="AU14" i="14"/>
  <c r="AV14" i="14"/>
  <c r="AH42" i="4"/>
  <c r="AK41" i="4"/>
  <c r="U40" i="4" s="1"/>
  <c r="AH49" i="4"/>
  <c r="AH41" i="4"/>
  <c r="AK55" i="10"/>
  <c r="U53" i="10" s="1"/>
  <c r="AK51" i="10"/>
  <c r="U43" i="10" s="1"/>
  <c r="AK52" i="10"/>
  <c r="U44" i="10" s="1"/>
  <c r="AK54" i="10"/>
  <c r="U52" i="10" s="1"/>
  <c r="AV15" i="10"/>
  <c r="AU15" i="10"/>
  <c r="AK54" i="13"/>
  <c r="U52" i="13" s="1"/>
  <c r="AK50" i="13"/>
  <c r="U42" i="13" s="1"/>
  <c r="AK51" i="13"/>
  <c r="U43" i="13" s="1"/>
  <c r="AK53" i="13"/>
  <c r="U51" i="13" s="1"/>
  <c r="I36" i="15"/>
  <c r="AV15" i="6"/>
  <c r="AU15" i="6"/>
  <c r="AU13" i="9"/>
  <c r="N13" i="9" s="1"/>
  <c r="AW18" i="9"/>
  <c r="AV13" i="9"/>
  <c r="M11" i="3"/>
  <c r="P10" i="3"/>
  <c r="O10" i="3"/>
  <c r="AU13" i="3"/>
  <c r="N13" i="3" s="1"/>
  <c r="AV13" i="3"/>
  <c r="AW18" i="3" l="1"/>
  <c r="AW19" i="3" s="1"/>
  <c r="AW20" i="3" s="1"/>
  <c r="AW16" i="13"/>
  <c r="AW17" i="13" s="1"/>
  <c r="AW18" i="13" s="1"/>
  <c r="AW18" i="4"/>
  <c r="AW19" i="4" s="1"/>
  <c r="AK43" i="3"/>
  <c r="U42" i="3" s="1"/>
  <c r="AV13" i="4"/>
  <c r="AU13" i="4"/>
  <c r="AW19" i="14"/>
  <c r="AW19" i="11"/>
  <c r="AV16" i="11"/>
  <c r="AU16" i="11"/>
  <c r="N16" i="11" s="1"/>
  <c r="AW21" i="6"/>
  <c r="AW22" i="6" s="1"/>
  <c r="M12" i="9"/>
  <c r="M13" i="9" s="1"/>
  <c r="O13" i="9" s="1"/>
  <c r="P11" i="9"/>
  <c r="AU12" i="7"/>
  <c r="AV12" i="7"/>
  <c r="AW16" i="7"/>
  <c r="AV12" i="5"/>
  <c r="AU12" i="5"/>
  <c r="M13" i="11"/>
  <c r="P13" i="11" s="1"/>
  <c r="O12" i="11"/>
  <c r="O11" i="11"/>
  <c r="AH43" i="5"/>
  <c r="AK43" i="5"/>
  <c r="U42" i="5" s="1"/>
  <c r="AH44" i="5"/>
  <c r="P11" i="11"/>
  <c r="M12" i="13"/>
  <c r="M13" i="13" s="1"/>
  <c r="AK43" i="12"/>
  <c r="AH44" i="14"/>
  <c r="AK42" i="6"/>
  <c r="AH51" i="12"/>
  <c r="AH43" i="12"/>
  <c r="K30" i="15"/>
  <c r="M30" i="15" s="1"/>
  <c r="AH44" i="3"/>
  <c r="K32" i="15"/>
  <c r="M32" i="15" s="1"/>
  <c r="AH50" i="6"/>
  <c r="AH43" i="6"/>
  <c r="AK44" i="14"/>
  <c r="AH45" i="14"/>
  <c r="AH51" i="3"/>
  <c r="AH43" i="3"/>
  <c r="O11" i="13"/>
  <c r="AW18" i="8"/>
  <c r="AW19" i="8" s="1"/>
  <c r="AV14" i="8"/>
  <c r="AU14" i="8"/>
  <c r="AH50" i="11"/>
  <c r="AK42" i="11"/>
  <c r="U41" i="11" s="1"/>
  <c r="AH43" i="11"/>
  <c r="AH42" i="11"/>
  <c r="AH42" i="8"/>
  <c r="AK42" i="8"/>
  <c r="U41" i="8" s="1"/>
  <c r="AH43" i="8"/>
  <c r="AH50" i="8"/>
  <c r="AU17" i="12"/>
  <c r="AV17" i="12"/>
  <c r="AV13" i="13"/>
  <c r="AU13" i="13" s="1"/>
  <c r="N13" i="13" s="1"/>
  <c r="AU15" i="14"/>
  <c r="AV15" i="14"/>
  <c r="AK49" i="4"/>
  <c r="U41" i="4" s="1"/>
  <c r="AK50" i="4"/>
  <c r="U42" i="4" s="1"/>
  <c r="AK52" i="4"/>
  <c r="U50" i="4" s="1"/>
  <c r="AK53" i="4"/>
  <c r="U51" i="4" s="1"/>
  <c r="AU14" i="4"/>
  <c r="AV14" i="4"/>
  <c r="AU16" i="6"/>
  <c r="AV16" i="6"/>
  <c r="K36" i="15"/>
  <c r="M36" i="15" s="1"/>
  <c r="AU14" i="9"/>
  <c r="N14" i="9" s="1"/>
  <c r="AV14" i="9"/>
  <c r="AU16" i="10"/>
  <c r="AV16" i="10"/>
  <c r="M12" i="3"/>
  <c r="O11" i="3"/>
  <c r="P11" i="3"/>
  <c r="AW17" i="7" l="1"/>
  <c r="AW18" i="7" s="1"/>
  <c r="AW16" i="5"/>
  <c r="AW17" i="5" s="1"/>
  <c r="AW18" i="5" s="1"/>
  <c r="AK55" i="3"/>
  <c r="U53" i="3" s="1"/>
  <c r="AK52" i="3"/>
  <c r="U44" i="3" s="1"/>
  <c r="AK51" i="3"/>
  <c r="U43" i="3" s="1"/>
  <c r="AK54" i="3"/>
  <c r="U52" i="3" s="1"/>
  <c r="AK55" i="14"/>
  <c r="U53" i="14" s="1"/>
  <c r="U42" i="14"/>
  <c r="AK54" i="6"/>
  <c r="U51" i="6" s="1"/>
  <c r="U41" i="6"/>
  <c r="AK52" i="12"/>
  <c r="U44" i="12" s="1"/>
  <c r="U42" i="12"/>
  <c r="AU17" i="11"/>
  <c r="N17" i="11" s="1"/>
  <c r="AV17" i="11"/>
  <c r="O12" i="9"/>
  <c r="P13" i="9"/>
  <c r="P12" i="9"/>
  <c r="M14" i="9"/>
  <c r="M15" i="9" s="1"/>
  <c r="AV13" i="7"/>
  <c r="AU13" i="7" s="1"/>
  <c r="M14" i="11"/>
  <c r="O14" i="11" s="1"/>
  <c r="AU13" i="5"/>
  <c r="AV13" i="5"/>
  <c r="O13" i="11"/>
  <c r="AK55" i="5"/>
  <c r="U53" i="5" s="1"/>
  <c r="AK51" i="5"/>
  <c r="U43" i="5" s="1"/>
  <c r="AK52" i="5"/>
  <c r="U44" i="5" s="1"/>
  <c r="AK54" i="5"/>
  <c r="U52" i="5" s="1"/>
  <c r="AK51" i="12"/>
  <c r="U43" i="12" s="1"/>
  <c r="P12" i="13"/>
  <c r="O12" i="13"/>
  <c r="AK55" i="6"/>
  <c r="U52" i="6" s="1"/>
  <c r="AK51" i="6"/>
  <c r="U42" i="6" s="1"/>
  <c r="AK52" i="6"/>
  <c r="U43" i="6" s="1"/>
  <c r="AK54" i="12"/>
  <c r="U52" i="12" s="1"/>
  <c r="AK55" i="12"/>
  <c r="U53" i="12" s="1"/>
  <c r="AK52" i="14"/>
  <c r="U44" i="14" s="1"/>
  <c r="AK54" i="14"/>
  <c r="U52" i="14" s="1"/>
  <c r="AK51" i="14"/>
  <c r="U43" i="14" s="1"/>
  <c r="I34" i="15"/>
  <c r="AK51" i="11"/>
  <c r="U43" i="11" s="1"/>
  <c r="AK54" i="11"/>
  <c r="U52" i="11" s="1"/>
  <c r="AK53" i="11"/>
  <c r="U51" i="11" s="1"/>
  <c r="AK50" i="11"/>
  <c r="U42" i="11" s="1"/>
  <c r="AV15" i="8"/>
  <c r="AU15" i="8"/>
  <c r="AK54" i="8"/>
  <c r="U52" i="8" s="1"/>
  <c r="AK53" i="8"/>
  <c r="U51" i="8" s="1"/>
  <c r="AK50" i="8"/>
  <c r="U42" i="8" s="1"/>
  <c r="AK51" i="8"/>
  <c r="U43" i="8" s="1"/>
  <c r="AW22" i="12"/>
  <c r="AW23" i="12" s="1"/>
  <c r="AU18" i="12"/>
  <c r="AV18" i="12"/>
  <c r="O13" i="13"/>
  <c r="AV14" i="13"/>
  <c r="AU14" i="13" s="1"/>
  <c r="N14" i="13" s="1"/>
  <c r="AV16" i="14"/>
  <c r="AU16" i="14"/>
  <c r="AV15" i="4"/>
  <c r="AU15" i="4"/>
  <c r="AU17" i="6"/>
  <c r="AV17" i="6"/>
  <c r="AU15" i="9"/>
  <c r="N15" i="9" s="1"/>
  <c r="AV15" i="9"/>
  <c r="AV17" i="10"/>
  <c r="AU17" i="10"/>
  <c r="AW22" i="10"/>
  <c r="M14" i="13"/>
  <c r="P13" i="13"/>
  <c r="M13" i="3"/>
  <c r="O12" i="3"/>
  <c r="P12" i="3"/>
  <c r="AW21" i="14" l="1"/>
  <c r="AW22" i="14" s="1"/>
  <c r="AW23" i="14" s="1"/>
  <c r="AV18" i="11"/>
  <c r="AU18" i="11"/>
  <c r="N18" i="11" s="1"/>
  <c r="P14" i="9"/>
  <c r="O14" i="9"/>
  <c r="AW19" i="7"/>
  <c r="AW20" i="7" s="1"/>
  <c r="AV14" i="7"/>
  <c r="AU14" i="7" s="1"/>
  <c r="P14" i="11"/>
  <c r="M15" i="11"/>
  <c r="M16" i="11" s="1"/>
  <c r="AU14" i="5"/>
  <c r="AV14" i="5"/>
  <c r="AU16" i="8"/>
  <c r="AW20" i="8"/>
  <c r="AW21" i="8" s="1"/>
  <c r="AV16" i="8"/>
  <c r="K34" i="15"/>
  <c r="M34" i="15" s="1"/>
  <c r="O14" i="13"/>
  <c r="AU19" i="12"/>
  <c r="AV19" i="12"/>
  <c r="AW19" i="13"/>
  <c r="AW20" i="13" s="1"/>
  <c r="AV15" i="13"/>
  <c r="AU15" i="13" s="1"/>
  <c r="N15" i="13" s="1"/>
  <c r="AU17" i="14"/>
  <c r="AV17" i="14"/>
  <c r="AU16" i="4"/>
  <c r="AV16" i="4"/>
  <c r="AW23" i="6"/>
  <c r="AW24" i="6" s="1"/>
  <c r="AV18" i="6"/>
  <c r="AU18" i="6" s="1"/>
  <c r="AU18" i="10"/>
  <c r="AV18" i="10"/>
  <c r="AU16" i="9"/>
  <c r="N16" i="9" s="1"/>
  <c r="AV16" i="9"/>
  <c r="M15" i="13"/>
  <c r="P14" i="13"/>
  <c r="O15" i="9"/>
  <c r="M16" i="9"/>
  <c r="P15" i="9"/>
  <c r="M14" i="3"/>
  <c r="P13" i="3"/>
  <c r="O13" i="3"/>
  <c r="AW21" i="11" l="1"/>
  <c r="AW22" i="11" s="1"/>
  <c r="AW23" i="11" s="1"/>
  <c r="AW20" i="9"/>
  <c r="AW21" i="9" s="1"/>
  <c r="AW22" i="9" s="1"/>
  <c r="AW21" i="4"/>
  <c r="AW23" i="4" s="1"/>
  <c r="AW24" i="4" s="1"/>
  <c r="AU19" i="11"/>
  <c r="N19" i="11" s="1"/>
  <c r="AV19" i="11"/>
  <c r="AV15" i="7"/>
  <c r="AU15" i="7" s="1"/>
  <c r="O15" i="11"/>
  <c r="P15" i="11"/>
  <c r="AW19" i="5"/>
  <c r="AU15" i="5"/>
  <c r="AV15" i="5"/>
  <c r="AU17" i="8"/>
  <c r="AV17" i="8"/>
  <c r="AW24" i="12"/>
  <c r="AW25" i="12" s="1"/>
  <c r="AV20" i="12"/>
  <c r="AU20" i="12"/>
  <c r="AV16" i="13"/>
  <c r="AU16" i="13"/>
  <c r="N16" i="13" s="1"/>
  <c r="O15" i="13"/>
  <c r="AV18" i="14"/>
  <c r="AU18" i="14"/>
  <c r="AU17" i="4"/>
  <c r="AV17" i="4"/>
  <c r="AU17" i="9"/>
  <c r="N17" i="9" s="1"/>
  <c r="AV17" i="9"/>
  <c r="AV19" i="6"/>
  <c r="AU19" i="6"/>
  <c r="P15" i="13"/>
  <c r="M16" i="13"/>
  <c r="M17" i="9"/>
  <c r="P16" i="9"/>
  <c r="O16" i="9"/>
  <c r="M17" i="11"/>
  <c r="O16" i="11"/>
  <c r="P16" i="11"/>
  <c r="M15" i="3"/>
  <c r="AV20" i="11" l="1"/>
  <c r="AU20" i="11"/>
  <c r="N20" i="11" s="1"/>
  <c r="AV16" i="7"/>
  <c r="AU16" i="7"/>
  <c r="P16" i="13"/>
  <c r="AU18" i="8"/>
  <c r="AV18" i="8"/>
  <c r="AU21" i="12"/>
  <c r="AV21" i="12"/>
  <c r="AW21" i="13"/>
  <c r="AW22" i="13" s="1"/>
  <c r="AV17" i="13"/>
  <c r="AU17" i="13"/>
  <c r="N17" i="13" s="1"/>
  <c r="AW24" i="14"/>
  <c r="AV19" i="14"/>
  <c r="AU19" i="14"/>
  <c r="AV18" i="4"/>
  <c r="AU18" i="4"/>
  <c r="AV20" i="6"/>
  <c r="AW25" i="6"/>
  <c r="AU20" i="6"/>
  <c r="AU18" i="9"/>
  <c r="N18" i="9" s="1"/>
  <c r="AW23" i="9"/>
  <c r="AV18" i="9"/>
  <c r="M17" i="13"/>
  <c r="O16" i="13"/>
  <c r="O17" i="11"/>
  <c r="M18" i="11"/>
  <c r="P17" i="11"/>
  <c r="O17" i="9"/>
  <c r="M18" i="9"/>
  <c r="P17" i="9"/>
  <c r="M16" i="3"/>
  <c r="AW26" i="6" l="1"/>
  <c r="AW27" i="6" s="1"/>
  <c r="AW22" i="8"/>
  <c r="AW23" i="8" s="1"/>
  <c r="AW24" i="8" s="1"/>
  <c r="AW24" i="11"/>
  <c r="AV21" i="11"/>
  <c r="AU21" i="11"/>
  <c r="N21" i="11" s="1"/>
  <c r="AU17" i="7"/>
  <c r="AV17" i="7"/>
  <c r="AU19" i="8"/>
  <c r="AV19" i="8"/>
  <c r="P17" i="13"/>
  <c r="AV22" i="12"/>
  <c r="AU22" i="12"/>
  <c r="AU20" i="14"/>
  <c r="AV20" i="14"/>
  <c r="AV19" i="4"/>
  <c r="AU19" i="4"/>
  <c r="AV21" i="6"/>
  <c r="AU21" i="6" s="1"/>
  <c r="AU19" i="9"/>
  <c r="N19" i="9" s="1"/>
  <c r="AV19" i="9"/>
  <c r="O17" i="13"/>
  <c r="M18" i="13"/>
  <c r="M19" i="13" s="1"/>
  <c r="M19" i="9"/>
  <c r="O18" i="9"/>
  <c r="P18" i="9"/>
  <c r="O18" i="11"/>
  <c r="P18" i="11"/>
  <c r="M19" i="11"/>
  <c r="M17" i="3"/>
  <c r="AW26" i="12" l="1"/>
  <c r="AW27" i="12" s="1"/>
  <c r="AW28" i="12" s="1"/>
  <c r="AU22" i="11"/>
  <c r="N22" i="11" s="1"/>
  <c r="AV22" i="11"/>
  <c r="AW21" i="7"/>
  <c r="AW22" i="7" s="1"/>
  <c r="AU18" i="7"/>
  <c r="AV18" i="7"/>
  <c r="AV20" i="8"/>
  <c r="AU20" i="8"/>
  <c r="AU23" i="12"/>
  <c r="AV23" i="12"/>
  <c r="AW26" i="14"/>
  <c r="AU21" i="14"/>
  <c r="AV21" i="14"/>
  <c r="AV20" i="4"/>
  <c r="AU20" i="4"/>
  <c r="AW25" i="4"/>
  <c r="AV20" i="9"/>
  <c r="AW25" i="9"/>
  <c r="AU20" i="9"/>
  <c r="N20" i="9" s="1"/>
  <c r="AV22" i="6"/>
  <c r="AU22" i="6"/>
  <c r="O19" i="11"/>
  <c r="P19" i="11"/>
  <c r="M20" i="11"/>
  <c r="M20" i="13"/>
  <c r="M20" i="9"/>
  <c r="P19" i="9"/>
  <c r="O19" i="9"/>
  <c r="M18" i="3"/>
  <c r="AW26" i="11" l="1"/>
  <c r="AV23" i="11"/>
  <c r="AU23" i="11"/>
  <c r="N23" i="11" s="1"/>
  <c r="AW28" i="6"/>
  <c r="AW29" i="6" s="1"/>
  <c r="AW23" i="7"/>
  <c r="AU19" i="7"/>
  <c r="AV19" i="7"/>
  <c r="AW25" i="8"/>
  <c r="AW26" i="8" s="1"/>
  <c r="AV21" i="8"/>
  <c r="AU21" i="8"/>
  <c r="AV24" i="12"/>
  <c r="AU24" i="12"/>
  <c r="AU22" i="14"/>
  <c r="AV22" i="14"/>
  <c r="AW26" i="4"/>
  <c r="AU21" i="4"/>
  <c r="AV21" i="4"/>
  <c r="AU21" i="9"/>
  <c r="N21" i="9" s="1"/>
  <c r="AV21" i="9"/>
  <c r="AV23" i="6"/>
  <c r="AU23" i="6"/>
  <c r="O20" i="9"/>
  <c r="P20" i="9"/>
  <c r="M21" i="9"/>
  <c r="O20" i="11"/>
  <c r="P20" i="11"/>
  <c r="M21" i="11"/>
  <c r="M21" i="13"/>
  <c r="M19" i="3"/>
  <c r="AW24" i="7" l="1"/>
  <c r="AW25" i="7" s="1"/>
  <c r="AV24" i="11"/>
  <c r="AU24" i="11"/>
  <c r="N24" i="11" s="1"/>
  <c r="AU20" i="7"/>
  <c r="AV20" i="7"/>
  <c r="AV22" i="8"/>
  <c r="AU22" i="8"/>
  <c r="AW29" i="12"/>
  <c r="AW30" i="12" s="1"/>
  <c r="AU25" i="12"/>
  <c r="AV25" i="12"/>
  <c r="AU23" i="14"/>
  <c r="AV23" i="14"/>
  <c r="AU22" i="4"/>
  <c r="AV22" i="4"/>
  <c r="AV24" i="6"/>
  <c r="AU24" i="6" s="1"/>
  <c r="AU22" i="9"/>
  <c r="N22" i="9" s="1"/>
  <c r="AV22" i="9"/>
  <c r="M22" i="13"/>
  <c r="O21" i="9"/>
  <c r="P21" i="9"/>
  <c r="M22" i="9"/>
  <c r="M22" i="11"/>
  <c r="O21" i="11"/>
  <c r="P21" i="11"/>
  <c r="M20" i="3"/>
  <c r="AU25" i="11" l="1"/>
  <c r="N25" i="11" s="1"/>
  <c r="AV25" i="11"/>
  <c r="AW26" i="7"/>
  <c r="AW27" i="7" s="1"/>
  <c r="AV21" i="7"/>
  <c r="AU21" i="7"/>
  <c r="AW27" i="8"/>
  <c r="AW28" i="8" s="1"/>
  <c r="AU23" i="8"/>
  <c r="AV23" i="8"/>
  <c r="AU26" i="12"/>
  <c r="AV26" i="12"/>
  <c r="AU24" i="14"/>
  <c r="AV24" i="14"/>
  <c r="AU23" i="4"/>
  <c r="AV23" i="4"/>
  <c r="AV23" i="9"/>
  <c r="AU23" i="9"/>
  <c r="N23" i="9" s="1"/>
  <c r="AU25" i="6"/>
  <c r="AW30" i="6"/>
  <c r="AW31" i="6" s="1"/>
  <c r="AV25" i="6"/>
  <c r="M23" i="11"/>
  <c r="O22" i="11"/>
  <c r="P22" i="11"/>
  <c r="M23" i="9"/>
  <c r="O22" i="9"/>
  <c r="P22" i="9"/>
  <c r="M23" i="13"/>
  <c r="M21" i="3"/>
  <c r="AW28" i="14" l="1"/>
  <c r="AW29" i="14" s="1"/>
  <c r="AW30" i="14" s="1"/>
  <c r="AW28" i="11"/>
  <c r="AW29" i="11" s="1"/>
  <c r="AW30" i="11" s="1"/>
  <c r="AW28" i="4"/>
  <c r="AW30" i="4" s="1"/>
  <c r="AW31" i="4" s="1"/>
  <c r="AV26" i="11"/>
  <c r="AU26" i="11"/>
  <c r="N26" i="11" s="1"/>
  <c r="AV22" i="7"/>
  <c r="AU22" i="7"/>
  <c r="AU24" i="8"/>
  <c r="AV24" i="8"/>
  <c r="AW31" i="12"/>
  <c r="AW32" i="12" s="1"/>
  <c r="AU27" i="12"/>
  <c r="AV27" i="12"/>
  <c r="AU25" i="14"/>
  <c r="AV25" i="14"/>
  <c r="AV24" i="4"/>
  <c r="AU24" i="4"/>
  <c r="AV26" i="6"/>
  <c r="AU26" i="6"/>
  <c r="AU24" i="9"/>
  <c r="N24" i="9" s="1"/>
  <c r="AV24" i="9"/>
  <c r="M24" i="13"/>
  <c r="M24" i="9"/>
  <c r="O23" i="9"/>
  <c r="P23" i="9"/>
  <c r="O23" i="11"/>
  <c r="P23" i="11"/>
  <c r="M24" i="11"/>
  <c r="M22" i="3"/>
  <c r="AW27" i="9" l="1"/>
  <c r="AW28" i="9" s="1"/>
  <c r="AW29" i="9" s="1"/>
  <c r="AW30" i="9" s="1"/>
  <c r="AW31" i="9" s="1"/>
  <c r="AU27" i="11"/>
  <c r="N27" i="11" s="1"/>
  <c r="AV27" i="11"/>
  <c r="AU23" i="7"/>
  <c r="AV23" i="7"/>
  <c r="AV25" i="8"/>
  <c r="AU25" i="8"/>
  <c r="AU28" i="12"/>
  <c r="AV28" i="12"/>
  <c r="AW31" i="14"/>
  <c r="AV26" i="14"/>
  <c r="AU26" i="14"/>
  <c r="AU25" i="4"/>
  <c r="AV25" i="4"/>
  <c r="AU25" i="9"/>
  <c r="N25" i="9" s="1"/>
  <c r="AV25" i="9"/>
  <c r="AW32" i="6"/>
  <c r="AU27" i="6"/>
  <c r="AV27" i="6"/>
  <c r="O24" i="9"/>
  <c r="P24" i="9"/>
  <c r="M25" i="9"/>
  <c r="O24" i="11"/>
  <c r="P24" i="11"/>
  <c r="M25" i="11"/>
  <c r="M25" i="13"/>
  <c r="M23" i="3"/>
  <c r="AW33" i="6" l="1"/>
  <c r="AW34" i="6" s="1"/>
  <c r="AW29" i="8"/>
  <c r="AW30" i="8" s="1"/>
  <c r="AW31" i="8" s="1"/>
  <c r="AW31" i="11"/>
  <c r="AV28" i="11"/>
  <c r="AU28" i="11"/>
  <c r="N28" i="11" s="1"/>
  <c r="AV24" i="7"/>
  <c r="AU24" i="7" s="1"/>
  <c r="AV26" i="8"/>
  <c r="AU26" i="8"/>
  <c r="AU29" i="12"/>
  <c r="AV29" i="12"/>
  <c r="AV27" i="14"/>
  <c r="AU27" i="14"/>
  <c r="AU26" i="4"/>
  <c r="AV26" i="4"/>
  <c r="AU26" i="9"/>
  <c r="N26" i="9" s="1"/>
  <c r="AV26" i="9"/>
  <c r="AV28" i="6"/>
  <c r="AU28" i="6"/>
  <c r="M26" i="13"/>
  <c r="O25" i="9"/>
  <c r="M26" i="9"/>
  <c r="P25" i="9"/>
  <c r="P25" i="11"/>
  <c r="M26" i="11"/>
  <c r="O25" i="11"/>
  <c r="M24" i="3"/>
  <c r="AW33" i="12" l="1"/>
  <c r="AW34" i="12" s="1"/>
  <c r="AW35" i="12" s="1"/>
  <c r="AU29" i="11"/>
  <c r="N29" i="11" s="1"/>
  <c r="AV29" i="11"/>
  <c r="AW28" i="7"/>
  <c r="AW29" i="7" s="1"/>
  <c r="AV25" i="7"/>
  <c r="AU25" i="7"/>
  <c r="AV27" i="8"/>
  <c r="AU27" i="8"/>
  <c r="AU30" i="12"/>
  <c r="AV30" i="12"/>
  <c r="AW33" i="14"/>
  <c r="AU28" i="14"/>
  <c r="AV28" i="14"/>
  <c r="AW32" i="4"/>
  <c r="AV27" i="4"/>
  <c r="AU27" i="4"/>
  <c r="AU29" i="6"/>
  <c r="AV29" i="6"/>
  <c r="AW32" i="9"/>
  <c r="AW33" i="9" s="1"/>
  <c r="AU27" i="9"/>
  <c r="N27" i="9" s="1"/>
  <c r="AV27" i="9"/>
  <c r="O26" i="9"/>
  <c r="P26" i="9"/>
  <c r="M27" i="9"/>
  <c r="O26" i="11"/>
  <c r="P26" i="11"/>
  <c r="M27" i="11"/>
  <c r="M27" i="13"/>
  <c r="M25" i="3"/>
  <c r="AW33" i="11" l="1"/>
  <c r="AU30" i="11"/>
  <c r="N30" i="11" s="1"/>
  <c r="AV30" i="11"/>
  <c r="AW35" i="6"/>
  <c r="AW36" i="6" s="1"/>
  <c r="AU26" i="7"/>
  <c r="AV26" i="7"/>
  <c r="AW30" i="7"/>
  <c r="AW32" i="8"/>
  <c r="AW33" i="8" s="1"/>
  <c r="AV28" i="8"/>
  <c r="AU28" i="8"/>
  <c r="AU31" i="12"/>
  <c r="AV31" i="12"/>
  <c r="AV29" i="14"/>
  <c r="AU29" i="14"/>
  <c r="AV28" i="4"/>
  <c r="AW33" i="4"/>
  <c r="AU28" i="4"/>
  <c r="AV30" i="6"/>
  <c r="AU30" i="6"/>
  <c r="AV28" i="9"/>
  <c r="AU28" i="9" s="1"/>
  <c r="N28" i="9" s="1"/>
  <c r="M28" i="9"/>
  <c r="O27" i="9"/>
  <c r="P27" i="9"/>
  <c r="M28" i="13"/>
  <c r="O27" i="11"/>
  <c r="P27" i="11"/>
  <c r="M28" i="11"/>
  <c r="M26" i="3"/>
  <c r="AW31" i="7" l="1"/>
  <c r="AW32" i="7" s="1"/>
  <c r="AV31" i="11"/>
  <c r="AU31" i="11"/>
  <c r="N31" i="11" s="1"/>
  <c r="AU27" i="7"/>
  <c r="AV27" i="7"/>
  <c r="AU29" i="8"/>
  <c r="AV29" i="8"/>
  <c r="AW36" i="12"/>
  <c r="AW37" i="12" s="1"/>
  <c r="AU32" i="12"/>
  <c r="AV32" i="12"/>
  <c r="AV30" i="14"/>
  <c r="AU30" i="14"/>
  <c r="AU29" i="4"/>
  <c r="AV29" i="4"/>
  <c r="AV29" i="9"/>
  <c r="AU29" i="9" s="1"/>
  <c r="N29" i="9" s="1"/>
  <c r="AU31" i="6"/>
  <c r="AV31" i="6"/>
  <c r="M29" i="13"/>
  <c r="O28" i="11"/>
  <c r="P28" i="11"/>
  <c r="M29" i="11"/>
  <c r="M29" i="9"/>
  <c r="P28" i="9"/>
  <c r="O28" i="9"/>
  <c r="M27" i="3"/>
  <c r="AU32" i="11" l="1"/>
  <c r="N32" i="11" s="1"/>
  <c r="AV32" i="11"/>
  <c r="AW33" i="7"/>
  <c r="AW34" i="7" s="1"/>
  <c r="AV28" i="7"/>
  <c r="AU28" i="7"/>
  <c r="AW34" i="8"/>
  <c r="AW35" i="8" s="1"/>
  <c r="AU30" i="8"/>
  <c r="AV30" i="8"/>
  <c r="AV33" i="12"/>
  <c r="AU33" i="12"/>
  <c r="AV31" i="14"/>
  <c r="AU31" i="14"/>
  <c r="AV30" i="4"/>
  <c r="AU30" i="4"/>
  <c r="AV30" i="9"/>
  <c r="AU30" i="9" s="1"/>
  <c r="N30" i="9" s="1"/>
  <c r="AV32" i="6"/>
  <c r="AU32" i="6" s="1"/>
  <c r="M30" i="9"/>
  <c r="O29" i="9"/>
  <c r="P29" i="9"/>
  <c r="O29" i="11"/>
  <c r="P29" i="11"/>
  <c r="M30" i="11"/>
  <c r="M30" i="13"/>
  <c r="M28" i="3"/>
  <c r="AW35" i="11" l="1"/>
  <c r="AW36" i="11" s="1"/>
  <c r="AW35" i="14"/>
  <c r="AW36" i="14" s="1"/>
  <c r="AW37" i="14" s="1"/>
  <c r="AV33" i="11"/>
  <c r="AU33" i="11"/>
  <c r="N33" i="11" s="1"/>
  <c r="AV29" i="7"/>
  <c r="AU29" i="7"/>
  <c r="AU31" i="8"/>
  <c r="AV31" i="8"/>
  <c r="AU34" i="12"/>
  <c r="AV34" i="12"/>
  <c r="AV32" i="14"/>
  <c r="AU32" i="14"/>
  <c r="AU31" i="4"/>
  <c r="AV31" i="4"/>
  <c r="AV33" i="6"/>
  <c r="AU33" i="6"/>
  <c r="AV31" i="9"/>
  <c r="AU31" i="9"/>
  <c r="N31" i="9" s="1"/>
  <c r="M31" i="13"/>
  <c r="M31" i="9"/>
  <c r="O30" i="9"/>
  <c r="P30" i="9"/>
  <c r="M31" i="11"/>
  <c r="O30" i="11"/>
  <c r="P30" i="11"/>
  <c r="M29" i="3"/>
  <c r="AW34" i="9" l="1"/>
  <c r="AW35" i="9" s="1"/>
  <c r="AW36" i="9" s="1"/>
  <c r="AW37" i="9" s="1"/>
  <c r="AV34" i="11"/>
  <c r="AU34" i="11"/>
  <c r="N34" i="11" s="1"/>
  <c r="AW36" i="8"/>
  <c r="AU30" i="7"/>
  <c r="AV30" i="7"/>
  <c r="AU32" i="8"/>
  <c r="AV32" i="8"/>
  <c r="AV35" i="12"/>
  <c r="AU35" i="12"/>
  <c r="AV33" i="14"/>
  <c r="AU33" i="14" s="1"/>
  <c r="AU32" i="4"/>
  <c r="AV32" i="4"/>
  <c r="AV32" i="9"/>
  <c r="AU32" i="9" s="1"/>
  <c r="N32" i="9" s="1"/>
  <c r="AV34" i="6"/>
  <c r="AU34" i="6"/>
  <c r="M32" i="9"/>
  <c r="O31" i="9"/>
  <c r="P31" i="9"/>
  <c r="O31" i="11"/>
  <c r="P31" i="11"/>
  <c r="M32" i="11"/>
  <c r="M32" i="13"/>
  <c r="M30" i="3"/>
  <c r="AU35" i="11" l="1"/>
  <c r="N35" i="11" s="1"/>
  <c r="AV35" i="11"/>
  <c r="AU31" i="7"/>
  <c r="AV31" i="7"/>
  <c r="AV33" i="8"/>
  <c r="AU33" i="8"/>
  <c r="AV36" i="12"/>
  <c r="AU36" i="12"/>
  <c r="AU34" i="14"/>
  <c r="AV34" i="14"/>
  <c r="AV33" i="4"/>
  <c r="AU33" i="4"/>
  <c r="AV35" i="6"/>
  <c r="AU35" i="6" s="1"/>
  <c r="AU33" i="9"/>
  <c r="N33" i="9" s="1"/>
  <c r="AV33" i="9"/>
  <c r="O32" i="9"/>
  <c r="P32" i="9"/>
  <c r="M33" i="9"/>
  <c r="M33" i="11"/>
  <c r="O32" i="11"/>
  <c r="P32" i="11"/>
  <c r="M33" i="13"/>
  <c r="M31" i="3"/>
  <c r="AV36" i="11" l="1"/>
  <c r="AU36" i="11"/>
  <c r="AV32" i="7"/>
  <c r="AU32" i="7"/>
  <c r="AV34" i="8"/>
  <c r="AU34" i="8"/>
  <c r="AV37" i="12"/>
  <c r="AU37" i="12"/>
  <c r="AV35" i="14"/>
  <c r="AU35" i="14" s="1"/>
  <c r="AU34" i="4"/>
  <c r="AV34" i="4"/>
  <c r="AV36" i="6"/>
  <c r="AU36" i="6"/>
  <c r="M53" i="6" s="1"/>
  <c r="U53" i="6" s="1"/>
  <c r="AV34" i="9"/>
  <c r="AU34" i="9"/>
  <c r="N34" i="9" s="1"/>
  <c r="O33" i="9"/>
  <c r="P33" i="9"/>
  <c r="M34" i="9"/>
  <c r="O33" i="11"/>
  <c r="P33" i="11"/>
  <c r="M34" i="11"/>
  <c r="M34" i="13"/>
  <c r="M32" i="3"/>
  <c r="N36" i="11" l="1"/>
  <c r="N24" i="12" s="1"/>
  <c r="M53" i="11"/>
  <c r="U53" i="11" s="1"/>
  <c r="AV33" i="7"/>
  <c r="AU33" i="7" s="1"/>
  <c r="AU35" i="8"/>
  <c r="AV35" i="8"/>
  <c r="AV36" i="14"/>
  <c r="AU36" i="14"/>
  <c r="AU35" i="9"/>
  <c r="N35" i="9" s="1"/>
  <c r="AV35" i="9"/>
  <c r="M35" i="11"/>
  <c r="O34" i="11"/>
  <c r="P34" i="11"/>
  <c r="M35" i="13"/>
  <c r="M35" i="9"/>
  <c r="O34" i="9"/>
  <c r="P34" i="9"/>
  <c r="M33" i="3"/>
  <c r="N17" i="12" l="1"/>
  <c r="N25" i="12"/>
  <c r="N11" i="12"/>
  <c r="N21" i="12"/>
  <c r="N30" i="12"/>
  <c r="N19" i="12"/>
  <c r="N23" i="12"/>
  <c r="N32" i="12"/>
  <c r="N15" i="12"/>
  <c r="N31" i="12"/>
  <c r="N26" i="12"/>
  <c r="N34" i="12"/>
  <c r="N36" i="12"/>
  <c r="N14" i="12"/>
  <c r="N22" i="12"/>
  <c r="N28" i="12"/>
  <c r="N35" i="12"/>
  <c r="N18" i="12"/>
  <c r="N16" i="12"/>
  <c r="N10" i="12"/>
  <c r="N7" i="12"/>
  <c r="N9" i="12"/>
  <c r="N27" i="12"/>
  <c r="N33" i="12"/>
  <c r="N12" i="12"/>
  <c r="N20" i="12"/>
  <c r="N13" i="12"/>
  <c r="N29" i="12"/>
  <c r="N37" i="12"/>
  <c r="N8" i="12"/>
  <c r="AW35" i="7"/>
  <c r="AV34" i="7"/>
  <c r="AU34" i="7" s="1"/>
  <c r="AU36" i="8"/>
  <c r="M53" i="8" s="1"/>
  <c r="U53" i="8" s="1"/>
  <c r="AV36" i="8"/>
  <c r="AV37" i="14"/>
  <c r="AU37" i="14" s="1"/>
  <c r="AV36" i="9"/>
  <c r="AU36" i="9" s="1"/>
  <c r="N36" i="9" s="1"/>
  <c r="M36" i="9"/>
  <c r="O35" i="9"/>
  <c r="P35" i="9"/>
  <c r="M36" i="13"/>
  <c r="O35" i="11"/>
  <c r="P35" i="11"/>
  <c r="M36" i="11"/>
  <c r="M34" i="3"/>
  <c r="AW36" i="7" l="1"/>
  <c r="AW37" i="7" s="1"/>
  <c r="AV35" i="7"/>
  <c r="AU35" i="7"/>
  <c r="AV37" i="9"/>
  <c r="AU37" i="9" s="1"/>
  <c r="N37" i="9" s="1"/>
  <c r="M7" i="14"/>
  <c r="P36" i="11"/>
  <c r="M7" i="12"/>
  <c r="O36" i="11"/>
  <c r="AB44" i="11"/>
  <c r="O36" i="9"/>
  <c r="P36" i="9"/>
  <c r="M37" i="9"/>
  <c r="M35" i="3"/>
  <c r="AV36" i="7" l="1"/>
  <c r="AU36" i="7"/>
  <c r="N7" i="10"/>
  <c r="N10" i="10"/>
  <c r="N11" i="10"/>
  <c r="N9" i="10"/>
  <c r="N8" i="10"/>
  <c r="N12" i="10"/>
  <c r="N13" i="10"/>
  <c r="N14" i="10"/>
  <c r="N15" i="10"/>
  <c r="N16" i="10"/>
  <c r="N17" i="10"/>
  <c r="N18" i="10"/>
  <c r="M48" i="11"/>
  <c r="U48" i="11" s="1"/>
  <c r="U54" i="11" s="1"/>
  <c r="AC44" i="11"/>
  <c r="AD44" i="11" s="1"/>
  <c r="M8" i="12"/>
  <c r="P7" i="12"/>
  <c r="O7" i="12"/>
  <c r="M8" i="14"/>
  <c r="M7" i="10"/>
  <c r="O37" i="9"/>
  <c r="P37" i="9"/>
  <c r="AB47" i="9"/>
  <c r="M36" i="3"/>
  <c r="M49" i="9" l="1"/>
  <c r="U49" i="9" s="1"/>
  <c r="U55" i="9" s="1"/>
  <c r="AE44" i="11"/>
  <c r="AB46" i="11"/>
  <c r="M8" i="10"/>
  <c r="P7" i="10"/>
  <c r="O7" i="10"/>
  <c r="M9" i="12"/>
  <c r="P8" i="12"/>
  <c r="O8" i="12"/>
  <c r="M9" i="14"/>
  <c r="AC47" i="9"/>
  <c r="AD47" i="9" s="1"/>
  <c r="M37" i="3"/>
  <c r="M10" i="12" l="1"/>
  <c r="O9" i="12"/>
  <c r="P9" i="12"/>
  <c r="M10" i="14"/>
  <c r="AB49" i="9"/>
  <c r="AE47" i="9"/>
  <c r="M9" i="10"/>
  <c r="O8" i="10"/>
  <c r="P8" i="10"/>
  <c r="AE45" i="11"/>
  <c r="AB48" i="11"/>
  <c r="M7" i="4"/>
  <c r="M11" i="12" l="1"/>
  <c r="O10" i="12"/>
  <c r="P10" i="12"/>
  <c r="M10" i="10"/>
  <c r="O9" i="10"/>
  <c r="P9" i="10"/>
  <c r="AE48" i="9"/>
  <c r="AB51" i="9"/>
  <c r="M11" i="14"/>
  <c r="M8" i="4"/>
  <c r="M12" i="14" l="1"/>
  <c r="M11" i="10"/>
  <c r="O10" i="10"/>
  <c r="P10" i="10"/>
  <c r="M12" i="12"/>
  <c r="O11" i="12"/>
  <c r="P11" i="12"/>
  <c r="M9" i="4"/>
  <c r="M12" i="10" l="1"/>
  <c r="P11" i="10"/>
  <c r="O11" i="10"/>
  <c r="M13" i="12"/>
  <c r="P12" i="12"/>
  <c r="O12" i="12"/>
  <c r="M13" i="14"/>
  <c r="M10" i="4"/>
  <c r="M13" i="10" l="1"/>
  <c r="O12" i="10"/>
  <c r="P12" i="10"/>
  <c r="M14" i="14"/>
  <c r="M14" i="12"/>
  <c r="M15" i="12" s="1"/>
  <c r="P13" i="12"/>
  <c r="O13" i="12"/>
  <c r="M11" i="4"/>
  <c r="O14" i="12" l="1"/>
  <c r="P14" i="12"/>
  <c r="M15" i="14"/>
  <c r="M14" i="10"/>
  <c r="O13" i="10"/>
  <c r="P13" i="10"/>
  <c r="M12" i="4"/>
  <c r="M16" i="12" l="1"/>
  <c r="P15" i="12"/>
  <c r="O15" i="12"/>
  <c r="M16" i="14"/>
  <c r="M15" i="10"/>
  <c r="P14" i="10"/>
  <c r="O14" i="10"/>
  <c r="M13" i="4"/>
  <c r="M16" i="10" l="1"/>
  <c r="P15" i="10"/>
  <c r="O15" i="10"/>
  <c r="M17" i="14"/>
  <c r="M17" i="12"/>
  <c r="P16" i="12"/>
  <c r="O16" i="12"/>
  <c r="M14" i="4"/>
  <c r="M18" i="14" l="1"/>
  <c r="M18" i="12"/>
  <c r="O17" i="12"/>
  <c r="P17" i="12"/>
  <c r="M17" i="10"/>
  <c r="P16" i="10"/>
  <c r="O16" i="10"/>
  <c r="M15" i="4"/>
  <c r="M18" i="10" l="1"/>
  <c r="O17" i="10"/>
  <c r="P17" i="10"/>
  <c r="M19" i="12"/>
  <c r="O18" i="12"/>
  <c r="P18" i="12"/>
  <c r="M19" i="14"/>
  <c r="M16" i="4"/>
  <c r="M20" i="12" l="1"/>
  <c r="O19" i="12"/>
  <c r="P19" i="12"/>
  <c r="M20" i="14"/>
  <c r="M19" i="10"/>
  <c r="P18" i="10"/>
  <c r="O18" i="10"/>
  <c r="M17" i="4"/>
  <c r="M20" i="10" l="1"/>
  <c r="M21" i="14"/>
  <c r="M21" i="12"/>
  <c r="O20" i="12"/>
  <c r="P20" i="12"/>
  <c r="M18" i="4"/>
  <c r="M22" i="12" l="1"/>
  <c r="P21" i="12"/>
  <c r="O21" i="12"/>
  <c r="M22" i="14"/>
  <c r="M21" i="10"/>
  <c r="M19" i="4"/>
  <c r="M23" i="12" l="1"/>
  <c r="O22" i="12"/>
  <c r="P22" i="12"/>
  <c r="M22" i="10"/>
  <c r="M23" i="14"/>
  <c r="M20" i="4"/>
  <c r="M24" i="14" l="1"/>
  <c r="M23" i="10"/>
  <c r="M24" i="12"/>
  <c r="P23" i="12"/>
  <c r="O23" i="12"/>
  <c r="M21" i="4"/>
  <c r="M25" i="14" l="1"/>
  <c r="M24" i="10"/>
  <c r="M25" i="12"/>
  <c r="O24" i="12"/>
  <c r="P24" i="12"/>
  <c r="M22" i="4"/>
  <c r="M26" i="12" l="1"/>
  <c r="P25" i="12"/>
  <c r="O25" i="12"/>
  <c r="M26" i="14"/>
  <c r="M25" i="10"/>
  <c r="M23" i="4"/>
  <c r="M27" i="14" l="1"/>
  <c r="M26" i="10"/>
  <c r="M27" i="12"/>
  <c r="O26" i="12"/>
  <c r="P26" i="12"/>
  <c r="M24" i="4"/>
  <c r="M28" i="12" l="1"/>
  <c r="P27" i="12"/>
  <c r="O27" i="12"/>
  <c r="M27" i="10"/>
  <c r="M28" i="14"/>
  <c r="M25" i="4"/>
  <c r="M29" i="14" l="1"/>
  <c r="M28" i="10"/>
  <c r="M29" i="12"/>
  <c r="O28" i="12"/>
  <c r="P28" i="12"/>
  <c r="M26" i="4"/>
  <c r="M30" i="14" l="1"/>
  <c r="M29" i="10"/>
  <c r="M30" i="12"/>
  <c r="P29" i="12"/>
  <c r="O29" i="12"/>
  <c r="M27" i="4"/>
  <c r="M31" i="14" l="1"/>
  <c r="M30" i="10"/>
  <c r="M31" i="12"/>
  <c r="O30" i="12"/>
  <c r="P30" i="12"/>
  <c r="M28" i="4"/>
  <c r="M31" i="10" l="1"/>
  <c r="M32" i="14"/>
  <c r="M32" i="12"/>
  <c r="O31" i="12"/>
  <c r="P31" i="12"/>
  <c r="M29" i="4"/>
  <c r="M33" i="12" l="1"/>
  <c r="O32" i="12"/>
  <c r="P32" i="12"/>
  <c r="M33" i="14"/>
  <c r="M32" i="10"/>
  <c r="M30" i="4"/>
  <c r="M33" i="10" l="1"/>
  <c r="M34" i="14"/>
  <c r="M34" i="12"/>
  <c r="O33" i="12"/>
  <c r="P33" i="12"/>
  <c r="M31" i="4"/>
  <c r="M34" i="10" l="1"/>
  <c r="M35" i="12"/>
  <c r="P34" i="12"/>
  <c r="O34" i="12"/>
  <c r="M35" i="14"/>
  <c r="M32" i="4"/>
  <c r="M36" i="12" l="1"/>
  <c r="O35" i="12"/>
  <c r="P35" i="12"/>
  <c r="M35" i="10"/>
  <c r="M36" i="14"/>
  <c r="M33" i="4"/>
  <c r="M37" i="14" l="1"/>
  <c r="M36" i="10"/>
  <c r="M37" i="12"/>
  <c r="P36" i="12"/>
  <c r="O36" i="12"/>
  <c r="M34" i="4"/>
  <c r="M7" i="5" s="1"/>
  <c r="M37" i="10" l="1"/>
  <c r="O37" i="12"/>
  <c r="P37" i="12"/>
  <c r="AB47" i="12"/>
  <c r="M8" i="5" l="1"/>
  <c r="AC47" i="12"/>
  <c r="AD47" i="12" s="1"/>
  <c r="M9" i="5" l="1"/>
  <c r="AE47" i="12"/>
  <c r="AB49" i="12"/>
  <c r="M10" i="5" l="1"/>
  <c r="AE48" i="12"/>
  <c r="AB51" i="12"/>
  <c r="M49" i="12" s="1"/>
  <c r="U49" i="12" s="1"/>
  <c r="U55" i="12" s="1"/>
  <c r="M11" i="5" l="1"/>
  <c r="D35" i="15"/>
  <c r="I35" i="15" s="1"/>
  <c r="H35" i="15"/>
  <c r="K35" i="15" s="1"/>
  <c r="M12" i="5" l="1"/>
  <c r="M35" i="15"/>
  <c r="M13" i="5" l="1"/>
  <c r="AV14" i="3"/>
  <c r="AU14" i="3"/>
  <c r="N14" i="3" s="1"/>
  <c r="AU15" i="3"/>
  <c r="N15" i="3" s="1"/>
  <c r="M14" i="5" l="1"/>
  <c r="O15" i="3"/>
  <c r="P15" i="3"/>
  <c r="P14" i="3"/>
  <c r="O14" i="3"/>
  <c r="AV15" i="3"/>
  <c r="M15" i="5" l="1"/>
  <c r="AU16" i="3"/>
  <c r="N16" i="3" s="1"/>
  <c r="AW21" i="3"/>
  <c r="AV16" i="3"/>
  <c r="M16" i="5" l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M7" i="7" s="1"/>
  <c r="AU17" i="3"/>
  <c r="N17" i="3" s="1"/>
  <c r="AW22" i="3"/>
  <c r="AW23" i="3" s="1"/>
  <c r="AV17" i="3"/>
  <c r="O16" i="3"/>
  <c r="P16" i="3"/>
  <c r="M8" i="7" l="1"/>
  <c r="AV18" i="3"/>
  <c r="AU18" i="3"/>
  <c r="N18" i="3" s="1"/>
  <c r="P17" i="3"/>
  <c r="O17" i="3"/>
  <c r="M9" i="7" l="1"/>
  <c r="AV19" i="3"/>
  <c r="AU19" i="3"/>
  <c r="N19" i="3" s="1"/>
  <c r="O18" i="3"/>
  <c r="P18" i="3"/>
  <c r="M10" i="7" l="1"/>
  <c r="AW24" i="3"/>
  <c r="AV20" i="3"/>
  <c r="AU20" i="3"/>
  <c r="N20" i="3" s="1"/>
  <c r="O19" i="3"/>
  <c r="P19" i="3"/>
  <c r="AW25" i="3" l="1"/>
  <c r="AW26" i="3" s="1"/>
  <c r="AW27" i="3" s="1"/>
  <c r="M11" i="7"/>
  <c r="P20" i="3"/>
  <c r="O20" i="3"/>
  <c r="AV21" i="3"/>
  <c r="AU21" i="3"/>
  <c r="N21" i="3" s="1"/>
  <c r="M12" i="7" l="1"/>
  <c r="P21" i="3"/>
  <c r="O21" i="3"/>
  <c r="AU22" i="3"/>
  <c r="N22" i="3" s="1"/>
  <c r="AV22" i="3"/>
  <c r="M13" i="7" l="1"/>
  <c r="AU23" i="3"/>
  <c r="N23" i="3" s="1"/>
  <c r="AV23" i="3"/>
  <c r="P22" i="3"/>
  <c r="O22" i="3"/>
  <c r="M14" i="7" l="1"/>
  <c r="AV24" i="3"/>
  <c r="AU24" i="3"/>
  <c r="N24" i="3" s="1"/>
  <c r="O23" i="3"/>
  <c r="P23" i="3"/>
  <c r="M15" i="7" l="1"/>
  <c r="AW28" i="3"/>
  <c r="AW29" i="3" s="1"/>
  <c r="AW30" i="3" s="1"/>
  <c r="O24" i="3"/>
  <c r="P24" i="3"/>
  <c r="AU25" i="3"/>
  <c r="N25" i="3" s="1"/>
  <c r="AV25" i="3"/>
  <c r="M16" i="7" l="1"/>
  <c r="P25" i="3"/>
  <c r="O25" i="3"/>
  <c r="AV26" i="3"/>
  <c r="AU26" i="3"/>
  <c r="N26" i="3" s="1"/>
  <c r="M17" i="7" l="1"/>
  <c r="AW31" i="3"/>
  <c r="P26" i="3"/>
  <c r="O26" i="3"/>
  <c r="AU27" i="3"/>
  <c r="N27" i="3" s="1"/>
  <c r="AV27" i="3"/>
  <c r="AW32" i="3" l="1"/>
  <c r="AW33" i="3" s="1"/>
  <c r="AW34" i="3" s="1"/>
  <c r="M18" i="7"/>
  <c r="O27" i="3"/>
  <c r="P27" i="3"/>
  <c r="AV28" i="3"/>
  <c r="AU28" i="3"/>
  <c r="N28" i="3" s="1"/>
  <c r="M19" i="7" l="1"/>
  <c r="AU29" i="3"/>
  <c r="N29" i="3" s="1"/>
  <c r="AV29" i="3"/>
  <c r="P28" i="3"/>
  <c r="O28" i="3"/>
  <c r="M20" i="7" l="1"/>
  <c r="AW35" i="3"/>
  <c r="AU30" i="3"/>
  <c r="N30" i="3" s="1"/>
  <c r="AV30" i="3"/>
  <c r="P29" i="3"/>
  <c r="O29" i="3"/>
  <c r="M21" i="7" l="1"/>
  <c r="P30" i="3"/>
  <c r="O30" i="3"/>
  <c r="AV31" i="3"/>
  <c r="AU31" i="3"/>
  <c r="N31" i="3" s="1"/>
  <c r="AW36" i="3"/>
  <c r="AW37" i="3" s="1"/>
  <c r="M22" i="7" l="1"/>
  <c r="O31" i="3"/>
  <c r="P31" i="3"/>
  <c r="AV32" i="3"/>
  <c r="AU32" i="3"/>
  <c r="N32" i="3" s="1"/>
  <c r="M23" i="7" l="1"/>
  <c r="AU33" i="3"/>
  <c r="N33" i="3" s="1"/>
  <c r="AV33" i="3"/>
  <c r="P32" i="3"/>
  <c r="O32" i="3"/>
  <c r="M24" i="7" l="1"/>
  <c r="P33" i="3"/>
  <c r="O33" i="3"/>
  <c r="AV34" i="3"/>
  <c r="AU34" i="3"/>
  <c r="N34" i="3" s="1"/>
  <c r="M25" i="7" l="1"/>
  <c r="AU35" i="3"/>
  <c r="N35" i="3" s="1"/>
  <c r="AV35" i="3"/>
  <c r="P34" i="3"/>
  <c r="O34" i="3"/>
  <c r="M26" i="7" l="1"/>
  <c r="AV36" i="3"/>
  <c r="AU36" i="3"/>
  <c r="N36" i="3" s="1"/>
  <c r="O35" i="3"/>
  <c r="P35" i="3"/>
  <c r="M27" i="7" l="1"/>
  <c r="AV37" i="3"/>
  <c r="AU37" i="3"/>
  <c r="N37" i="3" s="1"/>
  <c r="O36" i="3"/>
  <c r="P36" i="3"/>
  <c r="M28" i="7" l="1"/>
  <c r="N10" i="4"/>
  <c r="N18" i="4"/>
  <c r="N26" i="4"/>
  <c r="N13" i="4"/>
  <c r="N21" i="4"/>
  <c r="N29" i="4"/>
  <c r="AB47" i="3"/>
  <c r="N16" i="4"/>
  <c r="N24" i="4"/>
  <c r="N32" i="4"/>
  <c r="N11" i="4"/>
  <c r="N19" i="4"/>
  <c r="N27" i="4"/>
  <c r="O37" i="3"/>
  <c r="N14" i="4"/>
  <c r="N22" i="4"/>
  <c r="N30" i="4"/>
  <c r="N9" i="4"/>
  <c r="N17" i="4"/>
  <c r="N25" i="4"/>
  <c r="N33" i="4"/>
  <c r="P37" i="3"/>
  <c r="N8" i="4"/>
  <c r="N12" i="4"/>
  <c r="N20" i="4"/>
  <c r="N28" i="4"/>
  <c r="N7" i="4"/>
  <c r="N15" i="4"/>
  <c r="N23" i="4"/>
  <c r="N31" i="4"/>
  <c r="N34" i="4"/>
  <c r="AB45" i="4" s="1"/>
  <c r="M29" i="7" l="1"/>
  <c r="N8" i="5"/>
  <c r="N9" i="5"/>
  <c r="N10" i="5"/>
  <c r="N11" i="5"/>
  <c r="N12" i="5"/>
  <c r="N13" i="5"/>
  <c r="N14" i="5"/>
  <c r="N15" i="5"/>
  <c r="P7" i="5"/>
  <c r="O7" i="5"/>
  <c r="P15" i="4"/>
  <c r="O15" i="4"/>
  <c r="P34" i="4"/>
  <c r="O34" i="4"/>
  <c r="O25" i="4"/>
  <c r="P25" i="4"/>
  <c r="P19" i="4"/>
  <c r="O19" i="4"/>
  <c r="O13" i="4"/>
  <c r="P13" i="4"/>
  <c r="O8" i="4"/>
  <c r="P8" i="4"/>
  <c r="P14" i="4"/>
  <c r="O14" i="4"/>
  <c r="P11" i="4"/>
  <c r="O11" i="4"/>
  <c r="P31" i="4"/>
  <c r="O31" i="4"/>
  <c r="O32" i="4"/>
  <c r="P32" i="4"/>
  <c r="P29" i="4"/>
  <c r="O29" i="4"/>
  <c r="P18" i="4"/>
  <c r="O18" i="4"/>
  <c r="O12" i="4"/>
  <c r="P12" i="4"/>
  <c r="P22" i="4"/>
  <c r="O22" i="4"/>
  <c r="O16" i="4"/>
  <c r="P16" i="4"/>
  <c r="O7" i="4"/>
  <c r="P7" i="4"/>
  <c r="O17" i="4"/>
  <c r="P17" i="4"/>
  <c r="AC47" i="3"/>
  <c r="AD47" i="3" s="1"/>
  <c r="O26" i="4"/>
  <c r="P26" i="4"/>
  <c r="P28" i="4"/>
  <c r="O28" i="4"/>
  <c r="P9" i="4"/>
  <c r="O9" i="4"/>
  <c r="O23" i="4"/>
  <c r="P23" i="4"/>
  <c r="P20" i="4"/>
  <c r="O20" i="4"/>
  <c r="O33" i="4"/>
  <c r="P33" i="4"/>
  <c r="P30" i="4"/>
  <c r="O30" i="4"/>
  <c r="P27" i="4"/>
  <c r="O27" i="4"/>
  <c r="P24" i="4"/>
  <c r="O24" i="4"/>
  <c r="P21" i="4"/>
  <c r="O21" i="4"/>
  <c r="O10" i="4"/>
  <c r="P10" i="4"/>
  <c r="M30" i="7" l="1"/>
  <c r="P15" i="5"/>
  <c r="O15" i="5"/>
  <c r="P11" i="5"/>
  <c r="O11" i="5"/>
  <c r="O14" i="5"/>
  <c r="P14" i="5"/>
  <c r="O10" i="5"/>
  <c r="P10" i="5"/>
  <c r="P13" i="5"/>
  <c r="O13" i="5"/>
  <c r="O9" i="5"/>
  <c r="P9" i="5"/>
  <c r="O12" i="5"/>
  <c r="P12" i="5"/>
  <c r="O8" i="5"/>
  <c r="P8" i="5"/>
  <c r="AB49" i="3"/>
  <c r="AB50" i="3" s="1"/>
  <c r="AE47" i="3"/>
  <c r="AC45" i="4"/>
  <c r="AD45" i="4" s="1"/>
  <c r="M31" i="7" l="1"/>
  <c r="AB47" i="4"/>
  <c r="AB48" i="4" s="1"/>
  <c r="AE46" i="4"/>
  <c r="AE48" i="3"/>
  <c r="AB51" i="3"/>
  <c r="M32" i="7" l="1"/>
  <c r="D26" i="15"/>
  <c r="I26" i="15" s="1"/>
  <c r="H26" i="15"/>
  <c r="K26" i="15" s="1"/>
  <c r="M49" i="3"/>
  <c r="U49" i="3" s="1"/>
  <c r="U55" i="3" s="1"/>
  <c r="AE47" i="4"/>
  <c r="AB49" i="4"/>
  <c r="M47" i="4" s="1"/>
  <c r="M33" i="7" l="1"/>
  <c r="M26" i="15"/>
  <c r="N26" i="15" s="1"/>
  <c r="U47" i="4"/>
  <c r="U53" i="4" s="1"/>
  <c r="H27" i="15"/>
  <c r="K27" i="15" s="1"/>
  <c r="D27" i="15"/>
  <c r="I27" i="15" s="1"/>
  <c r="M34" i="7" l="1"/>
  <c r="M27" i="15"/>
  <c r="N27" i="15" s="1"/>
  <c r="AV16" i="5"/>
  <c r="AU16" i="5"/>
  <c r="N16" i="5" s="1"/>
  <c r="M35" i="7" l="1"/>
  <c r="AV17" i="5"/>
  <c r="O16" i="5"/>
  <c r="P16" i="5"/>
  <c r="AU17" i="5"/>
  <c r="N17" i="5" s="1"/>
  <c r="M36" i="7" l="1"/>
  <c r="AV18" i="5"/>
  <c r="AW21" i="5"/>
  <c r="AW23" i="5" s="1"/>
  <c r="AU18" i="5"/>
  <c r="N18" i="5" s="1"/>
  <c r="P17" i="5"/>
  <c r="O17" i="5"/>
  <c r="M37" i="7" l="1"/>
  <c r="M7" i="8" s="1"/>
  <c r="M8" i="8" s="1"/>
  <c r="M9" i="8" s="1"/>
  <c r="M10" i="8" s="1"/>
  <c r="M11" i="8" s="1"/>
  <c r="M12" i="8" s="1"/>
  <c r="M13" i="8" s="1"/>
  <c r="M14" i="8" s="1"/>
  <c r="M15" i="8" s="1"/>
  <c r="M16" i="8" s="1"/>
  <c r="M17" i="8" s="1"/>
  <c r="M18" i="8" s="1"/>
  <c r="M19" i="8" s="1"/>
  <c r="M20" i="8" s="1"/>
  <c r="M21" i="8" s="1"/>
  <c r="M22" i="8" s="1"/>
  <c r="M23" i="8" s="1"/>
  <c r="M24" i="8" s="1"/>
  <c r="M25" i="8" s="1"/>
  <c r="M26" i="8" s="1"/>
  <c r="M27" i="8" s="1"/>
  <c r="M28" i="8" s="1"/>
  <c r="M29" i="8" s="1"/>
  <c r="M30" i="8" s="1"/>
  <c r="M31" i="8" s="1"/>
  <c r="M32" i="8" s="1"/>
  <c r="M33" i="8" s="1"/>
  <c r="M34" i="8" s="1"/>
  <c r="M35" i="8" s="1"/>
  <c r="M36" i="8" s="1"/>
  <c r="AW24" i="5"/>
  <c r="AW25" i="5" s="1"/>
  <c r="AU19" i="5"/>
  <c r="N19" i="5" s="1"/>
  <c r="AV19" i="5"/>
  <c r="O18" i="5"/>
  <c r="P18" i="5"/>
  <c r="O19" i="5" l="1"/>
  <c r="P19" i="5"/>
  <c r="AV20" i="5"/>
  <c r="AU20" i="5"/>
  <c r="N20" i="5" s="1"/>
  <c r="AV21" i="5" l="1"/>
  <c r="AU21" i="5"/>
  <c r="N21" i="5" s="1"/>
  <c r="P20" i="5"/>
  <c r="O20" i="5"/>
  <c r="P21" i="5" l="1"/>
  <c r="O21" i="5"/>
  <c r="AW26" i="5"/>
  <c r="AU22" i="5"/>
  <c r="N22" i="5" s="1"/>
  <c r="AV22" i="5"/>
  <c r="O22" i="5" l="1"/>
  <c r="P22" i="5"/>
  <c r="AV23" i="5"/>
  <c r="AU23" i="5"/>
  <c r="N23" i="5" s="1"/>
  <c r="AW28" i="5" l="1"/>
  <c r="AW30" i="5" s="1"/>
  <c r="AU24" i="5"/>
  <c r="N24" i="5" s="1"/>
  <c r="AV24" i="5"/>
  <c r="P23" i="5"/>
  <c r="O23" i="5"/>
  <c r="AV25" i="5" l="1"/>
  <c r="AU25" i="5"/>
  <c r="N25" i="5" s="1"/>
  <c r="P24" i="5"/>
  <c r="O24" i="5"/>
  <c r="P25" i="5" l="1"/>
  <c r="O25" i="5"/>
  <c r="AU26" i="5"/>
  <c r="N26" i="5" s="1"/>
  <c r="AV26" i="5"/>
  <c r="P26" i="5" l="1"/>
  <c r="O26" i="5"/>
  <c r="AV27" i="5"/>
  <c r="AU27" i="5"/>
  <c r="N27" i="5" s="1"/>
  <c r="P27" i="5" l="1"/>
  <c r="O27" i="5"/>
  <c r="AV28" i="5"/>
  <c r="AU28" i="5"/>
  <c r="N28" i="5" s="1"/>
  <c r="P28" i="5" l="1"/>
  <c r="O28" i="5"/>
  <c r="AU29" i="5"/>
  <c r="N29" i="5" s="1"/>
  <c r="AV29" i="5"/>
  <c r="O29" i="5" l="1"/>
  <c r="P29" i="5"/>
  <c r="AV19" i="10" l="1"/>
  <c r="AU19" i="10"/>
  <c r="N19" i="10" s="1"/>
  <c r="O19" i="10" l="1"/>
  <c r="P19" i="10"/>
  <c r="AV21" i="10"/>
  <c r="AU21" i="10"/>
  <c r="N21" i="10" s="1"/>
  <c r="AU20" i="10"/>
  <c r="N20" i="10" s="1"/>
  <c r="AV20" i="10"/>
  <c r="AW24" i="10" l="1"/>
  <c r="AW25" i="10" s="1"/>
  <c r="AW26" i="10" s="1"/>
  <c r="AW27" i="10" s="1"/>
  <c r="AV22" i="10"/>
  <c r="AU22" i="10"/>
  <c r="N22" i="10" s="1"/>
  <c r="P20" i="10"/>
  <c r="O20" i="10"/>
  <c r="P21" i="10"/>
  <c r="O21" i="10"/>
  <c r="O22" i="10" l="1"/>
  <c r="P22" i="10"/>
  <c r="AV23" i="10"/>
  <c r="AU23" i="10"/>
  <c r="N23" i="10" s="1"/>
  <c r="AV24" i="10" l="1"/>
  <c r="AW29" i="10"/>
  <c r="AU24" i="10"/>
  <c r="N24" i="10" s="1"/>
  <c r="O23" i="10"/>
  <c r="P23" i="10"/>
  <c r="AV25" i="10" l="1"/>
  <c r="AU25" i="10"/>
  <c r="N25" i="10" s="1"/>
  <c r="P24" i="10"/>
  <c r="O24" i="10"/>
  <c r="O25" i="10" l="1"/>
  <c r="P25" i="10"/>
  <c r="AV26" i="10"/>
  <c r="AU26" i="10"/>
  <c r="N26" i="10" s="1"/>
  <c r="P26" i="10" l="1"/>
  <c r="O26" i="10"/>
  <c r="AV27" i="10"/>
  <c r="AU27" i="10"/>
  <c r="N27" i="10" s="1"/>
  <c r="AW31" i="10" l="1"/>
  <c r="AW32" i="10" s="1"/>
  <c r="AW33" i="10" s="1"/>
  <c r="AV28" i="10"/>
  <c r="AU28" i="10"/>
  <c r="N28" i="10" s="1"/>
  <c r="P27" i="10"/>
  <c r="O27" i="10"/>
  <c r="AV29" i="10" l="1"/>
  <c r="AU29" i="10"/>
  <c r="N29" i="10" s="1"/>
  <c r="AW34" i="10"/>
  <c r="O28" i="10"/>
  <c r="P28" i="10"/>
  <c r="P29" i="10" l="1"/>
  <c r="O29" i="10"/>
  <c r="AV30" i="10"/>
  <c r="AU30" i="10"/>
  <c r="N30" i="10" s="1"/>
  <c r="AV31" i="10" l="1"/>
  <c r="AU31" i="10"/>
  <c r="N31" i="10" s="1"/>
  <c r="AW36" i="10"/>
  <c r="O30" i="10"/>
  <c r="P30" i="10"/>
  <c r="P31" i="10" l="1"/>
  <c r="O31" i="10"/>
  <c r="AV32" i="10"/>
  <c r="AU32" i="10"/>
  <c r="N32" i="10" s="1"/>
  <c r="AV33" i="10" l="1"/>
  <c r="AU33" i="10"/>
  <c r="N33" i="10" s="1"/>
  <c r="O32" i="10"/>
  <c r="P32" i="10"/>
  <c r="AV34" i="10" l="1"/>
  <c r="AU34" i="10"/>
  <c r="N34" i="10" s="1"/>
  <c r="O33" i="10"/>
  <c r="P33" i="10"/>
  <c r="P34" i="10" l="1"/>
  <c r="O34" i="10"/>
  <c r="AV35" i="10"/>
  <c r="AU35" i="10"/>
  <c r="N35" i="10" s="1"/>
  <c r="AV36" i="10" l="1"/>
  <c r="AU36" i="10" s="1"/>
  <c r="N36" i="10" s="1"/>
  <c r="P35" i="10"/>
  <c r="O35" i="10"/>
  <c r="P36" i="10" l="1"/>
  <c r="O36" i="10"/>
  <c r="AV37" i="10"/>
  <c r="AU37" i="10"/>
  <c r="N37" i="10" s="1"/>
  <c r="P37" i="10" l="1"/>
  <c r="AB47" i="10"/>
  <c r="O37" i="10"/>
  <c r="AC47" i="10" l="1"/>
  <c r="AD47" i="10" s="1"/>
  <c r="AE47" i="10" l="1"/>
  <c r="AB49" i="10"/>
  <c r="AE48" i="10" l="1"/>
  <c r="AB51" i="10"/>
  <c r="M49" i="10" s="1"/>
  <c r="U49" i="10" s="1"/>
  <c r="U55" i="10" s="1"/>
  <c r="H33" i="15" l="1"/>
  <c r="K33" i="15" s="1"/>
  <c r="D33" i="15"/>
  <c r="I33" i="15" s="1"/>
  <c r="M33" i="15" l="1"/>
  <c r="AV18" i="13"/>
  <c r="AU18" i="13"/>
  <c r="N18" i="13" s="1"/>
  <c r="P18" i="13" l="1"/>
  <c r="O18" i="13"/>
  <c r="AV19" i="13"/>
  <c r="AU19" i="13" s="1"/>
  <c r="N19" i="13" s="1"/>
  <c r="O19" i="13" s="1"/>
  <c r="P19" i="13" l="1"/>
  <c r="AV20" i="13"/>
  <c r="AU20" i="13"/>
  <c r="N20" i="13" s="1"/>
  <c r="AW23" i="13" l="1"/>
  <c r="AW24" i="13" s="1"/>
  <c r="AW25" i="13" s="1"/>
  <c r="AW26" i="13" s="1"/>
  <c r="AW27" i="13" s="1"/>
  <c r="AV21" i="13"/>
  <c r="AU21" i="13"/>
  <c r="N21" i="13" s="1"/>
  <c r="O20" i="13"/>
  <c r="P20" i="13"/>
  <c r="O21" i="13" l="1"/>
  <c r="P21" i="13"/>
  <c r="AV22" i="13"/>
  <c r="AU22" i="13" s="1"/>
  <c r="N22" i="13" s="1"/>
  <c r="AV23" i="13" l="1"/>
  <c r="AU23" i="13"/>
  <c r="N23" i="13" s="1"/>
  <c r="AW28" i="13"/>
  <c r="AW29" i="13" s="1"/>
  <c r="O22" i="13"/>
  <c r="P22" i="13"/>
  <c r="AV24" i="13" l="1"/>
  <c r="AU24" i="13" s="1"/>
  <c r="N24" i="13" s="1"/>
  <c r="O23" i="13"/>
  <c r="P23" i="13"/>
  <c r="AV25" i="13" l="1"/>
  <c r="AU25" i="13"/>
  <c r="N25" i="13" s="1"/>
  <c r="O24" i="13"/>
  <c r="P24" i="13"/>
  <c r="P25" i="13" l="1"/>
  <c r="O25" i="13"/>
  <c r="AV26" i="13"/>
  <c r="AU26" i="13" s="1"/>
  <c r="N26" i="13" s="1"/>
  <c r="AW30" i="13" l="1"/>
  <c r="AW31" i="13" s="1"/>
  <c r="AW32" i="13" s="1"/>
  <c r="O26" i="13"/>
  <c r="P26" i="13"/>
  <c r="AV27" i="13"/>
  <c r="AU27" i="13" s="1"/>
  <c r="N27" i="13" s="1"/>
  <c r="O27" i="13" l="1"/>
  <c r="P27" i="13"/>
  <c r="AV28" i="13"/>
  <c r="AU28" i="13" s="1"/>
  <c r="N28" i="13" s="1"/>
  <c r="AW33" i="13"/>
  <c r="AW34" i="13" s="1"/>
  <c r="O28" i="13" l="1"/>
  <c r="P28" i="13"/>
  <c r="AV29" i="13"/>
  <c r="AU29" i="13"/>
  <c r="N29" i="13" s="1"/>
  <c r="O29" i="13" l="1"/>
  <c r="P29" i="13"/>
  <c r="AW35" i="13"/>
  <c r="AW36" i="13" s="1"/>
  <c r="AV30" i="13"/>
  <c r="AU30" i="13"/>
  <c r="N30" i="13" s="1"/>
  <c r="AV31" i="13" l="1"/>
  <c r="AU31" i="13" s="1"/>
  <c r="N31" i="13" s="1"/>
  <c r="O30" i="13"/>
  <c r="P30" i="13"/>
  <c r="AV32" i="13" l="1"/>
  <c r="AU32" i="13" s="1"/>
  <c r="N32" i="13" s="1"/>
  <c r="O31" i="13"/>
  <c r="P31" i="13"/>
  <c r="O32" i="13" l="1"/>
  <c r="P32" i="13"/>
  <c r="AU33" i="13"/>
  <c r="N33" i="13" s="1"/>
  <c r="AV33" i="13"/>
  <c r="O33" i="13" l="1"/>
  <c r="P33" i="13"/>
  <c r="AV34" i="13"/>
  <c r="AU34" i="13" s="1"/>
  <c r="N34" i="13" s="1"/>
  <c r="O34" i="13" l="1"/>
  <c r="P34" i="13"/>
  <c r="AV35" i="13"/>
  <c r="AU35" i="13" s="1"/>
  <c r="N35" i="13" s="1"/>
  <c r="O35" i="13" l="1"/>
  <c r="P35" i="13"/>
  <c r="AV36" i="13"/>
  <c r="AU36" i="13"/>
  <c r="N36" i="13" l="1"/>
  <c r="N34" i="14" s="1"/>
  <c r="M53" i="13"/>
  <c r="U53" i="13" s="1"/>
  <c r="N18" i="14"/>
  <c r="N30" i="14" l="1"/>
  <c r="P30" i="14" s="1"/>
  <c r="O36" i="13"/>
  <c r="N14" i="14"/>
  <c r="P14" i="14" s="1"/>
  <c r="N37" i="14"/>
  <c r="O37" i="14" s="1"/>
  <c r="N12" i="14"/>
  <c r="P12" i="14" s="1"/>
  <c r="N13" i="14"/>
  <c r="P13" i="14" s="1"/>
  <c r="N27" i="14"/>
  <c r="P27" i="14" s="1"/>
  <c r="N28" i="14"/>
  <c r="P28" i="14" s="1"/>
  <c r="N22" i="14"/>
  <c r="O22" i="14" s="1"/>
  <c r="N36" i="14"/>
  <c r="O36" i="14" s="1"/>
  <c r="N9" i="14"/>
  <c r="P9" i="14" s="1"/>
  <c r="N33" i="14"/>
  <c r="P33" i="14" s="1"/>
  <c r="N26" i="14"/>
  <c r="O26" i="14" s="1"/>
  <c r="N20" i="14"/>
  <c r="O20" i="14" s="1"/>
  <c r="N32" i="14"/>
  <c r="P32" i="14" s="1"/>
  <c r="N11" i="14"/>
  <c r="O11" i="14" s="1"/>
  <c r="N24" i="14"/>
  <c r="O24" i="14" s="1"/>
  <c r="N10" i="14"/>
  <c r="P10" i="14" s="1"/>
  <c r="N21" i="14"/>
  <c r="P21" i="14" s="1"/>
  <c r="N16" i="14"/>
  <c r="P16" i="14" s="1"/>
  <c r="N15" i="14"/>
  <c r="O15" i="14" s="1"/>
  <c r="AB46" i="13"/>
  <c r="N8" i="14"/>
  <c r="P8" i="14" s="1"/>
  <c r="N31" i="14"/>
  <c r="O31" i="14" s="1"/>
  <c r="N29" i="14"/>
  <c r="P29" i="14" s="1"/>
  <c r="N19" i="14"/>
  <c r="O19" i="14" s="1"/>
  <c r="N35" i="14"/>
  <c r="O35" i="14" s="1"/>
  <c r="N7" i="14"/>
  <c r="O7" i="14" s="1"/>
  <c r="P36" i="13"/>
  <c r="N23" i="14"/>
  <c r="P23" i="14" s="1"/>
  <c r="N25" i="14"/>
  <c r="P25" i="14" s="1"/>
  <c r="N17" i="14"/>
  <c r="P17" i="14" s="1"/>
  <c r="P34" i="14"/>
  <c r="O34" i="14"/>
  <c r="O18" i="14"/>
  <c r="P18" i="14"/>
  <c r="O10" i="14" l="1"/>
  <c r="O9" i="14"/>
  <c r="O30" i="14"/>
  <c r="O14" i="14"/>
  <c r="P37" i="14"/>
  <c r="O21" i="14"/>
  <c r="AB45" i="14"/>
  <c r="AC45" i="14" s="1"/>
  <c r="AD45" i="14" s="1"/>
  <c r="P19" i="14"/>
  <c r="O12" i="14"/>
  <c r="O33" i="14"/>
  <c r="P35" i="14"/>
  <c r="M48" i="13"/>
  <c r="U48" i="13" s="1"/>
  <c r="U54" i="13" s="1"/>
  <c r="O13" i="14"/>
  <c r="P7" i="14"/>
  <c r="O25" i="14"/>
  <c r="O16" i="14"/>
  <c r="P36" i="14"/>
  <c r="P20" i="14"/>
  <c r="P11" i="14"/>
  <c r="O32" i="14"/>
  <c r="O29" i="14"/>
  <c r="O27" i="14"/>
  <c r="O28" i="14"/>
  <c r="P24" i="14"/>
  <c r="P22" i="14"/>
  <c r="P26" i="14"/>
  <c r="O23" i="14"/>
  <c r="AC46" i="13"/>
  <c r="AD46" i="13" s="1"/>
  <c r="AE46" i="13" s="1"/>
  <c r="P15" i="14"/>
  <c r="O8" i="14"/>
  <c r="O17" i="14"/>
  <c r="P31" i="14"/>
  <c r="AB48" i="13" l="1"/>
  <c r="AB47" i="14"/>
  <c r="AE45" i="14"/>
  <c r="AE47" i="13"/>
  <c r="AB50" i="13"/>
  <c r="AE46" i="14" l="1"/>
  <c r="AB49" i="14"/>
  <c r="M49" i="14" s="1"/>
  <c r="U49" i="14" s="1"/>
  <c r="U55" i="14" s="1"/>
  <c r="D37" i="15" l="1"/>
  <c r="I37" i="15" s="1"/>
  <c r="H37" i="15"/>
  <c r="K37" i="15" s="1"/>
  <c r="M37" i="15" l="1"/>
  <c r="AU30" i="5"/>
  <c r="N30" i="5" s="1"/>
  <c r="AV30" i="5"/>
  <c r="AW31" i="5"/>
  <c r="AV31" i="5" s="1"/>
  <c r="P30" i="5" l="1"/>
  <c r="O30" i="5"/>
  <c r="AU31" i="5"/>
  <c r="N31" i="5" s="1"/>
  <c r="AW32" i="5"/>
  <c r="AW33" i="5" l="1"/>
  <c r="AU32" i="5"/>
  <c r="N32" i="5" s="1"/>
  <c r="AV32" i="5"/>
  <c r="P31" i="5"/>
  <c r="O31" i="5"/>
  <c r="O32" i="5" l="1"/>
  <c r="P32" i="5"/>
  <c r="AV33" i="5"/>
  <c r="AU33" i="5"/>
  <c r="N33" i="5" s="1"/>
  <c r="O33" i="5" l="1"/>
  <c r="P33" i="5"/>
  <c r="AU34" i="5"/>
  <c r="N34" i="5" s="1"/>
  <c r="AW35" i="5"/>
  <c r="AV34" i="5"/>
  <c r="AW37" i="5" l="1"/>
  <c r="AU35" i="5"/>
  <c r="N35" i="5" s="1"/>
  <c r="AV35" i="5"/>
  <c r="O34" i="5"/>
  <c r="P34" i="5"/>
  <c r="O35" i="5" l="1"/>
  <c r="P35" i="5"/>
  <c r="AV36" i="5"/>
  <c r="AU36" i="5"/>
  <c r="N36" i="5" s="1"/>
  <c r="O36" i="5" l="1"/>
  <c r="P36" i="5"/>
  <c r="AU37" i="5"/>
  <c r="N37" i="5" s="1"/>
  <c r="AV37" i="5"/>
  <c r="N24" i="6" l="1"/>
  <c r="N11" i="6"/>
  <c r="N32" i="6"/>
  <c r="N31" i="6"/>
  <c r="N29" i="6"/>
  <c r="N7" i="6"/>
  <c r="N25" i="6"/>
  <c r="N35" i="6"/>
  <c r="N8" i="6"/>
  <c r="N22" i="6"/>
  <c r="O37" i="5"/>
  <c r="N12" i="6"/>
  <c r="N28" i="6"/>
  <c r="N13" i="6"/>
  <c r="N14" i="6"/>
  <c r="P37" i="5"/>
  <c r="AB47" i="5"/>
  <c r="N23" i="6"/>
  <c r="N26" i="6"/>
  <c r="N27" i="6"/>
  <c r="N20" i="6"/>
  <c r="N16" i="6"/>
  <c r="N34" i="6"/>
  <c r="N18" i="6"/>
  <c r="N19" i="6"/>
  <c r="N10" i="6"/>
  <c r="N17" i="6"/>
  <c r="N30" i="6"/>
  <c r="N33" i="6"/>
  <c r="N9" i="6"/>
  <c r="N15" i="6"/>
  <c r="N36" i="6"/>
  <c r="N21" i="6"/>
  <c r="N7" i="7" l="1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O14" i="6"/>
  <c r="P14" i="6"/>
  <c r="O25" i="6"/>
  <c r="P25" i="6"/>
  <c r="O35" i="6"/>
  <c r="P35" i="6"/>
  <c r="O13" i="6"/>
  <c r="P13" i="6"/>
  <c r="O7" i="6"/>
  <c r="P7" i="6"/>
  <c r="P29" i="6"/>
  <c r="O29" i="6"/>
  <c r="O9" i="6"/>
  <c r="P9" i="6"/>
  <c r="P27" i="6"/>
  <c r="O27" i="6"/>
  <c r="P31" i="6"/>
  <c r="O31" i="6"/>
  <c r="O32" i="6"/>
  <c r="P32" i="6"/>
  <c r="P18" i="6"/>
  <c r="O18" i="6"/>
  <c r="P34" i="6"/>
  <c r="O34" i="6"/>
  <c r="O33" i="6"/>
  <c r="P33" i="6"/>
  <c r="O28" i="6"/>
  <c r="P28" i="6"/>
  <c r="P12" i="6"/>
  <c r="O12" i="6"/>
  <c r="P17" i="6"/>
  <c r="O17" i="6"/>
  <c r="O26" i="6"/>
  <c r="P26" i="6"/>
  <c r="O10" i="6"/>
  <c r="P10" i="6"/>
  <c r="P23" i="6"/>
  <c r="O23" i="6"/>
  <c r="P22" i="6"/>
  <c r="O22" i="6"/>
  <c r="O11" i="6"/>
  <c r="P11" i="6"/>
  <c r="P36" i="6"/>
  <c r="O36" i="6"/>
  <c r="AB44" i="6"/>
  <c r="P15" i="6"/>
  <c r="O15" i="6"/>
  <c r="O16" i="6"/>
  <c r="P16" i="6"/>
  <c r="P20" i="6"/>
  <c r="O20" i="6"/>
  <c r="P30" i="6"/>
  <c r="O30" i="6"/>
  <c r="P21" i="6"/>
  <c r="O21" i="6"/>
  <c r="P19" i="6"/>
  <c r="O19" i="6"/>
  <c r="AC47" i="5"/>
  <c r="AD47" i="5" s="1"/>
  <c r="O8" i="6"/>
  <c r="P8" i="6"/>
  <c r="P24" i="6"/>
  <c r="O24" i="6"/>
  <c r="P30" i="7" l="1"/>
  <c r="O30" i="7"/>
  <c r="P22" i="7"/>
  <c r="O22" i="7"/>
  <c r="P14" i="7"/>
  <c r="O14" i="7"/>
  <c r="O29" i="7"/>
  <c r="P29" i="7"/>
  <c r="P21" i="7"/>
  <c r="O21" i="7"/>
  <c r="O13" i="7"/>
  <c r="P13" i="7"/>
  <c r="P36" i="7"/>
  <c r="O36" i="7"/>
  <c r="P28" i="7"/>
  <c r="O28" i="7"/>
  <c r="O20" i="7"/>
  <c r="P20" i="7"/>
  <c r="P12" i="7"/>
  <c r="O12" i="7"/>
  <c r="O35" i="7"/>
  <c r="P35" i="7"/>
  <c r="O27" i="7"/>
  <c r="P27" i="7"/>
  <c r="P19" i="7"/>
  <c r="O19" i="7"/>
  <c r="O11" i="7"/>
  <c r="P11" i="7"/>
  <c r="O34" i="7"/>
  <c r="P34" i="7"/>
  <c r="O26" i="7"/>
  <c r="P26" i="7"/>
  <c r="P18" i="7"/>
  <c r="O18" i="7"/>
  <c r="P10" i="7"/>
  <c r="O10" i="7"/>
  <c r="O33" i="7"/>
  <c r="P33" i="7"/>
  <c r="P25" i="7"/>
  <c r="O25" i="7"/>
  <c r="O17" i="7"/>
  <c r="P17" i="7"/>
  <c r="P9" i="7"/>
  <c r="O9" i="7"/>
  <c r="P32" i="7"/>
  <c r="O32" i="7"/>
  <c r="O24" i="7"/>
  <c r="P24" i="7"/>
  <c r="O16" i="7"/>
  <c r="P16" i="7"/>
  <c r="P8" i="7"/>
  <c r="O8" i="7"/>
  <c r="P31" i="7"/>
  <c r="O31" i="7"/>
  <c r="O23" i="7"/>
  <c r="P23" i="7"/>
  <c r="O15" i="7"/>
  <c r="P15" i="7"/>
  <c r="O7" i="7"/>
  <c r="P7" i="7"/>
  <c r="AE47" i="5"/>
  <c r="AB49" i="5"/>
  <c r="AB50" i="5" s="1"/>
  <c r="AC44" i="6"/>
  <c r="AD44" i="6" s="1"/>
  <c r="AB46" i="6" l="1"/>
  <c r="AE44" i="6"/>
  <c r="AE48" i="5"/>
  <c r="AB51" i="5"/>
  <c r="M49" i="5" s="1"/>
  <c r="U49" i="5" s="1"/>
  <c r="U55" i="5" s="1"/>
  <c r="D28" i="15" l="1"/>
  <c r="I28" i="15" s="1"/>
  <c r="H28" i="15"/>
  <c r="K28" i="15" s="1"/>
  <c r="AE45" i="6"/>
  <c r="AB48" i="6"/>
  <c r="M48" i="6" s="1"/>
  <c r="U48" i="6" s="1"/>
  <c r="U54" i="6" s="1"/>
  <c r="M28" i="15" l="1"/>
  <c r="N28" i="15" s="1"/>
  <c r="D29" i="15"/>
  <c r="I29" i="15" s="1"/>
  <c r="H29" i="15"/>
  <c r="K29" i="15" s="1"/>
  <c r="M29" i="15" l="1"/>
  <c r="N29" i="15" s="1"/>
  <c r="N30" i="15" s="1"/>
  <c r="AU37" i="7"/>
  <c r="N37" i="7" s="1"/>
  <c r="N31" i="8" s="1"/>
  <c r="AV37" i="7"/>
  <c r="AB47" i="7" l="1"/>
  <c r="AC47" i="7" s="1"/>
  <c r="AD47" i="7" s="1"/>
  <c r="N18" i="8"/>
  <c r="P18" i="8" s="1"/>
  <c r="N26" i="8"/>
  <c r="O26" i="8" s="1"/>
  <c r="N29" i="8"/>
  <c r="O29" i="8" s="1"/>
  <c r="N10" i="8"/>
  <c r="O10" i="8" s="1"/>
  <c r="P37" i="7"/>
  <c r="O31" i="8"/>
  <c r="P31" i="8"/>
  <c r="N21" i="8"/>
  <c r="N7" i="8"/>
  <c r="N16" i="8"/>
  <c r="N24" i="8"/>
  <c r="N32" i="8"/>
  <c r="N8" i="8"/>
  <c r="N11" i="8"/>
  <c r="N19" i="8"/>
  <c r="N27" i="8"/>
  <c r="N35" i="8"/>
  <c r="N13" i="8"/>
  <c r="N14" i="8"/>
  <c r="N22" i="8"/>
  <c r="N30" i="8"/>
  <c r="N34" i="8"/>
  <c r="N9" i="8"/>
  <c r="N17" i="8"/>
  <c r="N25" i="8"/>
  <c r="N33" i="8"/>
  <c r="O37" i="7"/>
  <c r="N12" i="8"/>
  <c r="N20" i="8"/>
  <c r="N28" i="8"/>
  <c r="N36" i="8"/>
  <c r="N15" i="8"/>
  <c r="N23" i="8"/>
  <c r="P29" i="8" l="1"/>
  <c r="M49" i="7"/>
  <c r="U49" i="7" s="1"/>
  <c r="U55" i="7" s="1"/>
  <c r="O18" i="8"/>
  <c r="P26" i="8"/>
  <c r="P10" i="8"/>
  <c r="AE47" i="7"/>
  <c r="AB49" i="7"/>
  <c r="O16" i="8"/>
  <c r="P16" i="8"/>
  <c r="P33" i="8"/>
  <c r="O33" i="8"/>
  <c r="P25" i="8"/>
  <c r="O25" i="8"/>
  <c r="O28" i="8"/>
  <c r="P28" i="8"/>
  <c r="P27" i="8"/>
  <c r="O27" i="8"/>
  <c r="P7" i="8"/>
  <c r="O7" i="8"/>
  <c r="P14" i="8"/>
  <c r="O14" i="8"/>
  <c r="O13" i="8"/>
  <c r="P13" i="8"/>
  <c r="O35" i="8"/>
  <c r="P35" i="8"/>
  <c r="P20" i="8"/>
  <c r="O20" i="8"/>
  <c r="O12" i="8"/>
  <c r="P12" i="8"/>
  <c r="O19" i="8"/>
  <c r="P19" i="8"/>
  <c r="P21" i="8"/>
  <c r="O21" i="8"/>
  <c r="O34" i="8"/>
  <c r="P34" i="8"/>
  <c r="O11" i="8"/>
  <c r="P11" i="8"/>
  <c r="O36" i="8"/>
  <c r="P36" i="8"/>
  <c r="AB44" i="8"/>
  <c r="P24" i="8"/>
  <c r="O24" i="8"/>
  <c r="O17" i="8"/>
  <c r="P17" i="8"/>
  <c r="P9" i="8"/>
  <c r="O9" i="8"/>
  <c r="O23" i="8"/>
  <c r="P23" i="8"/>
  <c r="P15" i="8"/>
  <c r="O15" i="8"/>
  <c r="P30" i="8"/>
  <c r="O30" i="8"/>
  <c r="P8" i="8"/>
  <c r="O8" i="8"/>
  <c r="O22" i="8"/>
  <c r="P22" i="8"/>
  <c r="P32" i="8"/>
  <c r="O32" i="8"/>
  <c r="AC44" i="8" l="1"/>
  <c r="AD44" i="8" s="1"/>
  <c r="AE48" i="7"/>
  <c r="AB51" i="7"/>
  <c r="AB46" i="8" l="1"/>
  <c r="AE44" i="8"/>
  <c r="AE45" i="8" l="1"/>
  <c r="AB48" i="8"/>
  <c r="M48" i="8" s="1"/>
  <c r="U48" i="8" s="1"/>
  <c r="U54" i="8" s="1"/>
  <c r="H31" i="15" l="1"/>
  <c r="K31" i="15" s="1"/>
  <c r="D31" i="15"/>
  <c r="I31" i="15" s="1"/>
  <c r="M31" i="15" l="1"/>
  <c r="N31" i="15" s="1"/>
  <c r="N32" i="15" s="1"/>
  <c r="N33" i="15" s="1"/>
  <c r="N34" i="15" s="1"/>
  <c r="N35" i="15" s="1"/>
  <c r="N36" i="15" s="1"/>
  <c r="N37" i="15" s="1"/>
  <c r="N39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<sst xmlns="http://schemas.openxmlformats.org/spreadsheetml/2006/main" count="4527" uniqueCount="717">
  <si>
    <t>HAU1</t>
  </si>
  <si>
    <t>HAU2</t>
  </si>
  <si>
    <t>HAU3</t>
  </si>
  <si>
    <t>B1</t>
  </si>
  <si>
    <t>B2</t>
  </si>
  <si>
    <t>B3</t>
  </si>
  <si>
    <t>B4</t>
  </si>
  <si>
    <t>B5</t>
  </si>
  <si>
    <t>M1.1</t>
  </si>
  <si>
    <t>M1.2</t>
  </si>
  <si>
    <t>M2.1</t>
  </si>
  <si>
    <t>M2.2</t>
  </si>
  <si>
    <t>M3.1</t>
  </si>
  <si>
    <t>M3.2</t>
  </si>
  <si>
    <t>M4.1</t>
  </si>
  <si>
    <t>M4.2</t>
  </si>
  <si>
    <t>M5.1</t>
  </si>
  <si>
    <t>M5.2</t>
  </si>
  <si>
    <t>M6</t>
  </si>
  <si>
    <t>M7</t>
  </si>
  <si>
    <t>M7bis</t>
  </si>
  <si>
    <t>O1</t>
  </si>
  <si>
    <t>O2</t>
  </si>
  <si>
    <t>O3</t>
  </si>
  <si>
    <t>O4</t>
  </si>
  <si>
    <t>O5</t>
  </si>
  <si>
    <t>O6</t>
  </si>
  <si>
    <t>O7</t>
  </si>
  <si>
    <t>O8</t>
  </si>
  <si>
    <t>O4bis-ir</t>
  </si>
  <si>
    <t>O2ir</t>
  </si>
  <si>
    <t>O3ir</t>
  </si>
  <si>
    <t>O4ir</t>
  </si>
  <si>
    <t>O5ir</t>
  </si>
  <si>
    <t>O6ir</t>
  </si>
  <si>
    <t>O4bis</t>
  </si>
  <si>
    <t>Wanneer u slechts halftijds tewerkgesteld bent, hier een " x " invullen</t>
  </si>
  <si>
    <t>( Bij HALFTIJDS niet vergeten om hieronder de waarden van de codes aan te passen !!! )</t>
  </si>
  <si>
    <t>INFO bij het invullen :</t>
  </si>
  <si>
    <t>De uren die u gewerkt hebt kunt u invullen in de kolommen F,G,H,I,J,K als volgt :</t>
  </si>
  <si>
    <t>kol. F</t>
  </si>
  <si>
    <t>kol. G</t>
  </si>
  <si>
    <t>kol. H</t>
  </si>
  <si>
    <t>kol. I</t>
  </si>
  <si>
    <t>van</t>
  </si>
  <si>
    <t xml:space="preserve"> tot</t>
  </si>
  <si>
    <t>PLANTON</t>
  </si>
  <si>
    <t>BMP laat</t>
  </si>
  <si>
    <t>BELANGRIJK : vergeet de : (dubbele punt)</t>
  </si>
  <si>
    <t>BMP Nacht op</t>
  </si>
  <si>
    <t>niet te typen tussen uren en minuten</t>
  </si>
  <si>
    <t>BMP Nacht af</t>
  </si>
  <si>
    <t>U kan tot drie diensten voor dezelfde dag invullen</t>
  </si>
  <si>
    <r>
      <t xml:space="preserve">De weekend- en nacht Hr worden </t>
    </r>
    <r>
      <rPr>
        <b/>
        <sz val="8"/>
        <rFont val="Arial"/>
        <family val="2"/>
      </rPr>
      <t>automatisch</t>
    </r>
    <r>
      <rPr>
        <sz val="8"/>
        <rFont val="Arial"/>
        <family val="2"/>
      </rPr>
      <t xml:space="preserve"> berekend in de kolommen P en Q</t>
    </r>
  </si>
  <si>
    <t>(De optelling ervan gebeurt in het maandoverzicht)</t>
  </si>
  <si>
    <t xml:space="preserve">Min - uren van vorige periode die worden overgeschreven naar Januari </t>
  </si>
  <si>
    <t xml:space="preserve">Overuren van vorige periode die worden overgeschreven naar Januari </t>
  </si>
  <si>
    <t>Gebruik van codes bij het invullen van uw diensten :</t>
  </si>
  <si>
    <t>Achter de nummers 9 tot 14 kan u zelf nog vaste diensten invullen :</t>
  </si>
  <si>
    <t>vb:</t>
  </si>
  <si>
    <t>Planton</t>
  </si>
  <si>
    <t xml:space="preserve">U hoeft dan bij het aanvullen van uw dienstprestatie slechts het codenr in kolom 3 in te vullen </t>
  </si>
  <si>
    <t>en de aan deze dienst verbonden uren worden automatisch ingevoegd.</t>
  </si>
  <si>
    <t>N.B.</t>
  </si>
  <si>
    <t>Bij halftijdse prestaties dient u de blauwe waarden te</t>
  </si>
  <si>
    <t>vervangen door de rode waarden ernaast !!!!!</t>
  </si>
  <si>
    <t>Vooraf ingestelde codes (invullen in kolom D: code) :</t>
  </si>
  <si>
    <t>code</t>
  </si>
  <si>
    <t>beschrijving</t>
  </si>
  <si>
    <t>Atl Hr</t>
  </si>
  <si>
    <t>Dag verlof</t>
  </si>
  <si>
    <t>1/2 dag verlof</t>
  </si>
  <si>
    <t>Ziek</t>
  </si>
  <si>
    <t>Arbeidsongeval</t>
  </si>
  <si>
    <t>Syndic. Verlof</t>
  </si>
  <si>
    <t>1/2 synd.verlof</t>
  </si>
  <si>
    <t>1/2 d verlof+1/2 Synd.Verl.</t>
  </si>
  <si>
    <t>F</t>
  </si>
  <si>
    <t>Code ' FV ' gebruiken op de</t>
  </si>
  <si>
    <t>FV</t>
  </si>
  <si>
    <t>feestdagen van Maandag tot</t>
  </si>
  <si>
    <t>V</t>
  </si>
  <si>
    <t>Viervijfden</t>
  </si>
  <si>
    <t>Vrijdag waarop men NIET MET</t>
  </si>
  <si>
    <t>VB</t>
  </si>
  <si>
    <t>Brugdag</t>
  </si>
  <si>
    <t>DIENST BEVOLEN IS, dit voor de</t>
  </si>
  <si>
    <t>aanrekening van 7:36 uur.</t>
  </si>
  <si>
    <t>Brugdag = vervangende verlof-</t>
  </si>
  <si>
    <t>dag voor feestdag die in een</t>
  </si>
  <si>
    <t>weekend valt en die door de</t>
  </si>
  <si>
    <t>overheid werd vastgelegd</t>
  </si>
  <si>
    <t>VERLOFFICHE</t>
  </si>
  <si>
    <t>Vul hier het aantal verlofdagen in die</t>
  </si>
  <si>
    <t>Als u telkens wanneer u een dag verlof neemt een CODE 1 en bij een halve dag verlof een CODE 2</t>
  </si>
  <si>
    <t xml:space="preserve"> ingeeft in de desbetreffende kolom, dan wordt uw verloffiche onderaan elke maand automatisch bijgehouden.</t>
  </si>
  <si>
    <t>Wanneer u bijkomende dagen verlof toegekend krijgt (vb bloedgever …) dan kan u deze elke maand bijvoegen</t>
  </si>
  <si>
    <t>in de verloffiche in het gele vakje.</t>
  </si>
  <si>
    <t>BEREKENING WEEKEND- EN NACHTVERGOEDINGEN.</t>
  </si>
  <si>
    <t>De brutoberekeningswijze van de WE- en Nachtvergoeding is voor ieder personeelslid gelijk doch er zijn</t>
  </si>
  <si>
    <t>een aantal elementen die meespelen om tot de uiteindelijke netto-vergoedingen te komen.</t>
  </si>
  <si>
    <t>( jaarbedrag bruto-bezoldiging = jaarwedde 100% maal de index )</t>
  </si>
  <si>
    <t>Jaarbedrag bruto-bezoldiging</t>
  </si>
  <si>
    <t>% Afhouding op vergoedingen en toelagen</t>
  </si>
  <si>
    <t>%</t>
  </si>
  <si>
    <t>MO</t>
  </si>
  <si>
    <t>MI</t>
  </si>
  <si>
    <t>AV</t>
  </si>
  <si>
    <t>NA</t>
  </si>
  <si>
    <t>x</t>
  </si>
  <si>
    <t>Aan te rekenen overuren</t>
  </si>
  <si>
    <t>Min - uren vorige periode</t>
  </si>
  <si>
    <t>Halftime</t>
  </si>
  <si>
    <t>Fulltime</t>
  </si>
  <si>
    <t>co</t>
  </si>
  <si>
    <t>Ment</t>
  </si>
  <si>
    <t>Dienst</t>
  </si>
  <si>
    <t>Gepresteerd</t>
  </si>
  <si>
    <t>Norm.</t>
  </si>
  <si>
    <t>+ / -</t>
  </si>
  <si>
    <t>Maaltijden</t>
  </si>
  <si>
    <t>NA-hr</t>
  </si>
  <si>
    <t>WE</t>
  </si>
  <si>
    <t>Fiets</t>
  </si>
  <si>
    <t>Bereik</t>
  </si>
  <si>
    <t>Bereikb</t>
  </si>
  <si>
    <t>19/24</t>
  </si>
  <si>
    <t>00/07</t>
  </si>
  <si>
    <t xml:space="preserve">Na Hr </t>
  </si>
  <si>
    <t xml:space="preserve">22/24 </t>
  </si>
  <si>
    <t>Totaal</t>
  </si>
  <si>
    <t>Na Hr</t>
  </si>
  <si>
    <t>00/06</t>
  </si>
  <si>
    <t xml:space="preserve">Te </t>
  </si>
  <si>
    <t>Norm</t>
  </si>
  <si>
    <t>Dag</t>
  </si>
  <si>
    <t>Datum</t>
  </si>
  <si>
    <t>de</t>
  </si>
  <si>
    <t>OZ</t>
  </si>
  <si>
    <t>tot</t>
  </si>
  <si>
    <t>prest.</t>
  </si>
  <si>
    <t>Verschil</t>
  </si>
  <si>
    <t>Mi</t>
  </si>
  <si>
    <t>Av</t>
  </si>
  <si>
    <t>Na</t>
  </si>
  <si>
    <t>Mo</t>
  </si>
  <si>
    <t>Hr</t>
  </si>
  <si>
    <t>19/22</t>
  </si>
  <si>
    <t>22/06</t>
  </si>
  <si>
    <t>verg.</t>
  </si>
  <si>
    <t>baar</t>
  </si>
  <si>
    <t>Terugr.</t>
  </si>
  <si>
    <t xml:space="preserve"> NaHr</t>
  </si>
  <si>
    <t>NaHr</t>
  </si>
  <si>
    <t>Nahr</t>
  </si>
  <si>
    <t>CODE</t>
  </si>
  <si>
    <t>WE HR</t>
  </si>
  <si>
    <t>Verlof</t>
  </si>
  <si>
    <t>BOB</t>
  </si>
  <si>
    <t>Gewerkt"F"</t>
  </si>
  <si>
    <t>morgen</t>
  </si>
  <si>
    <t>middag</t>
  </si>
  <si>
    <t>avond</t>
  </si>
  <si>
    <t>nacht</t>
  </si>
  <si>
    <t>presteren</t>
  </si>
  <si>
    <t>Prest</t>
  </si>
  <si>
    <t>Opmerkingen</t>
  </si>
  <si>
    <t>Do</t>
  </si>
  <si>
    <t>1/jan</t>
  </si>
  <si>
    <t>Vr</t>
  </si>
  <si>
    <t>2/jan</t>
  </si>
  <si>
    <t>Za</t>
  </si>
  <si>
    <t>3/jan</t>
  </si>
  <si>
    <t>Zo</t>
  </si>
  <si>
    <t>4/jan</t>
  </si>
  <si>
    <t>Ma</t>
  </si>
  <si>
    <t>5/jan</t>
  </si>
  <si>
    <t>Di</t>
  </si>
  <si>
    <t>6/jan</t>
  </si>
  <si>
    <t>Wo</t>
  </si>
  <si>
    <t>7/jan</t>
  </si>
  <si>
    <t>8/jan</t>
  </si>
  <si>
    <t>9/jan</t>
  </si>
  <si>
    <t>10/jan</t>
  </si>
  <si>
    <t>11/jan</t>
  </si>
  <si>
    <t>12/jan</t>
  </si>
  <si>
    <t>13/jan</t>
  </si>
  <si>
    <t>14/jan</t>
  </si>
  <si>
    <t>15/jan</t>
  </si>
  <si>
    <t>16/jan</t>
  </si>
  <si>
    <t>17/jan</t>
  </si>
  <si>
    <t>18/jan</t>
  </si>
  <si>
    <t>19/jan</t>
  </si>
  <si>
    <t>20/jan</t>
  </si>
  <si>
    <t>21/jan</t>
  </si>
  <si>
    <t>22/jan</t>
  </si>
  <si>
    <t>23/jan</t>
  </si>
  <si>
    <t>24/jan</t>
  </si>
  <si>
    <t>25/jan</t>
  </si>
  <si>
    <t>26/jan</t>
  </si>
  <si>
    <t>27/jan</t>
  </si>
  <si>
    <t>28/jan</t>
  </si>
  <si>
    <t>29/jan</t>
  </si>
  <si>
    <t>30/jan</t>
  </si>
  <si>
    <t>31/jan</t>
  </si>
  <si>
    <t>Index</t>
  </si>
  <si>
    <t>IndexV</t>
  </si>
  <si>
    <t>Atl verlofdagen</t>
  </si>
  <si>
    <t>Maandoverzicht JANUARI</t>
  </si>
  <si>
    <t>Adm</t>
  </si>
  <si>
    <t>Bijkomende verlofdag</t>
  </si>
  <si>
    <t>+</t>
  </si>
  <si>
    <t>( uitbetaling maart )</t>
  </si>
  <si>
    <t>Aantal WE hr</t>
  </si>
  <si>
    <t>uur</t>
  </si>
  <si>
    <t>€</t>
  </si>
  <si>
    <t xml:space="preserve"> % Afhouding</t>
  </si>
  <si>
    <t>Oud statuut</t>
  </si>
  <si>
    <t>Uurloon bruto</t>
  </si>
  <si>
    <t>nieuw statuut</t>
  </si>
  <si>
    <t>Genomen verlof</t>
  </si>
  <si>
    <t xml:space="preserve">- </t>
  </si>
  <si>
    <t xml:space="preserve">  op toelage</t>
  </si>
  <si>
    <t>uurloon netto</t>
  </si>
  <si>
    <t>Atl Nacht hr (19-22)</t>
  </si>
  <si>
    <t>O/Hr</t>
  </si>
  <si>
    <t>ontbijt</t>
  </si>
  <si>
    <t>Resterend verlof</t>
  </si>
  <si>
    <t>Atl Nacht hr (22-06)</t>
  </si>
  <si>
    <t>Berekenen overHr</t>
  </si>
  <si>
    <t>Einde periode ?</t>
  </si>
  <si>
    <t>JA</t>
  </si>
  <si>
    <t>NEE</t>
  </si>
  <si>
    <t>nachtmaaltijd</t>
  </si>
  <si>
    <t>Aankruisen met  " x "</t>
  </si>
  <si>
    <t>percentage afhouding</t>
  </si>
  <si>
    <t>netto percent vergoeding</t>
  </si>
  <si>
    <r>
      <t xml:space="preserve">Aantal </t>
    </r>
    <r>
      <rPr>
        <b/>
        <sz val="8"/>
        <rFont val="Arial"/>
        <family val="2"/>
      </rPr>
      <t>min - uren</t>
    </r>
    <r>
      <rPr>
        <sz val="8"/>
        <rFont val="Arial"/>
        <family val="2"/>
      </rPr>
      <t xml:space="preserve"> over te dragen</t>
    </r>
  </si>
  <si>
    <t>OverHr uitbetaald</t>
  </si>
  <si>
    <t>naar volgende periode</t>
  </si>
  <si>
    <t>Lok.Recherche/dag</t>
  </si>
  <si>
    <t>dagen</t>
  </si>
  <si>
    <t>nacht 19-22 à 20%</t>
  </si>
  <si>
    <t>( Enkel bij einde periode )</t>
  </si>
  <si>
    <t>Fietsvergoeding</t>
  </si>
  <si>
    <t>km</t>
  </si>
  <si>
    <t>nacht 22-06 à 35%</t>
  </si>
  <si>
    <t>Bereikbaar</t>
  </si>
  <si>
    <r>
      <t xml:space="preserve">Aantal </t>
    </r>
    <r>
      <rPr>
        <b/>
        <sz val="8"/>
        <rFont val="Arial"/>
        <family val="2"/>
      </rPr>
      <t>overuren</t>
    </r>
    <r>
      <rPr>
        <sz val="8"/>
        <rFont val="Arial"/>
        <family val="2"/>
      </rPr>
      <t xml:space="preserve"> over te dragen</t>
    </r>
  </si>
  <si>
    <t>Bereikb + terugroepb</t>
  </si>
  <si>
    <t>Mentor</t>
  </si>
  <si>
    <t>Bereikbaar en terugroepbaar</t>
  </si>
  <si>
    <t>1/feb</t>
  </si>
  <si>
    <t>2/feb</t>
  </si>
  <si>
    <t>3/feb</t>
  </si>
  <si>
    <t>4/feb</t>
  </si>
  <si>
    <t>5/feb</t>
  </si>
  <si>
    <t>6/feb</t>
  </si>
  <si>
    <t>7/feb</t>
  </si>
  <si>
    <t>8/feb</t>
  </si>
  <si>
    <t>9/feb</t>
  </si>
  <si>
    <t>10/feb</t>
  </si>
  <si>
    <t>11/feb</t>
  </si>
  <si>
    <t>12/feb</t>
  </si>
  <si>
    <t>13/feb</t>
  </si>
  <si>
    <t>14/feb</t>
  </si>
  <si>
    <t>15/feb</t>
  </si>
  <si>
    <t>16/feb</t>
  </si>
  <si>
    <t>17/feb</t>
  </si>
  <si>
    <t>18/feb</t>
  </si>
  <si>
    <t>19/feb</t>
  </si>
  <si>
    <t>20/feb</t>
  </si>
  <si>
    <t>21/feb</t>
  </si>
  <si>
    <t>22/feb</t>
  </si>
  <si>
    <t>23/feb</t>
  </si>
  <si>
    <t>24/feb</t>
  </si>
  <si>
    <t>25/feb</t>
  </si>
  <si>
    <t>26/feb</t>
  </si>
  <si>
    <t>27/feb</t>
  </si>
  <si>
    <t>28/feb</t>
  </si>
  <si>
    <t>Maandoverzicht FEBRUARI</t>
  </si>
  <si>
    <t>( uitbetaling april )</t>
  </si>
  <si>
    <t>1/mrt</t>
  </si>
  <si>
    <t>2/mrt</t>
  </si>
  <si>
    <t>3/mrt</t>
  </si>
  <si>
    <t>4/mrt</t>
  </si>
  <si>
    <t>5/mrt</t>
  </si>
  <si>
    <t>6/mrt</t>
  </si>
  <si>
    <t>7/mrt</t>
  </si>
  <si>
    <t>8/mrt</t>
  </si>
  <si>
    <t>9/mrt</t>
  </si>
  <si>
    <t>10/mrt</t>
  </si>
  <si>
    <t>11/mrt</t>
  </si>
  <si>
    <t>12/mrt</t>
  </si>
  <si>
    <t>13/mrt</t>
  </si>
  <si>
    <t>14/mrt</t>
  </si>
  <si>
    <t>15/mrt</t>
  </si>
  <si>
    <t>16/mrt</t>
  </si>
  <si>
    <t>17/mrt</t>
  </si>
  <si>
    <t>18/mrt</t>
  </si>
  <si>
    <t>19/mrt</t>
  </si>
  <si>
    <t>20/mrt</t>
  </si>
  <si>
    <t>21/mrt</t>
  </si>
  <si>
    <t>22/mrt</t>
  </si>
  <si>
    <t>23/mrt</t>
  </si>
  <si>
    <t>24/mrt</t>
  </si>
  <si>
    <t>25/mrt</t>
  </si>
  <si>
    <t>26/mrt</t>
  </si>
  <si>
    <t>27/mrt</t>
  </si>
  <si>
    <t>28/mrt</t>
  </si>
  <si>
    <t>29/mrt</t>
  </si>
  <si>
    <t>30/mrt</t>
  </si>
  <si>
    <t>31/mrt</t>
  </si>
  <si>
    <t>Maandoverzicht MAART</t>
  </si>
  <si>
    <t>( uitbetaling mei )</t>
  </si>
  <si>
    <t>1/apr</t>
  </si>
  <si>
    <t>2/apr</t>
  </si>
  <si>
    <t>3/apr</t>
  </si>
  <si>
    <t>4/apr</t>
  </si>
  <si>
    <t>5/apr</t>
  </si>
  <si>
    <t>6/apr</t>
  </si>
  <si>
    <t>7/apr</t>
  </si>
  <si>
    <t>8/apr</t>
  </si>
  <si>
    <t>9/apr</t>
  </si>
  <si>
    <t>10/apr</t>
  </si>
  <si>
    <t>11/apr</t>
  </si>
  <si>
    <t>12/apr</t>
  </si>
  <si>
    <t>13/apr</t>
  </si>
  <si>
    <t>14/apr</t>
  </si>
  <si>
    <t>15/apr</t>
  </si>
  <si>
    <t>16/apr</t>
  </si>
  <si>
    <t>17/apr</t>
  </si>
  <si>
    <t>18/apr</t>
  </si>
  <si>
    <t>19/apr</t>
  </si>
  <si>
    <t>20/apr</t>
  </si>
  <si>
    <t>21/apr</t>
  </si>
  <si>
    <t>22/apr</t>
  </si>
  <si>
    <t>23/apr</t>
  </si>
  <si>
    <t>24/apr</t>
  </si>
  <si>
    <t>25/apr</t>
  </si>
  <si>
    <t>26/apr</t>
  </si>
  <si>
    <t>27/apr</t>
  </si>
  <si>
    <t>28/apr</t>
  </si>
  <si>
    <t>29/apr</t>
  </si>
  <si>
    <t>30/apr</t>
  </si>
  <si>
    <t>Maandoverzicht APRIL</t>
  </si>
  <si>
    <t>(uitbetaling juni )</t>
  </si>
  <si>
    <t>=15:00 uur</t>
  </si>
  <si>
    <t>Berekenen OverHr</t>
  </si>
  <si>
    <t>Atl verlofdagen WE</t>
  </si>
  <si>
    <t>1/mei</t>
  </si>
  <si>
    <t>2/mei</t>
  </si>
  <si>
    <t>3/mei</t>
  </si>
  <si>
    <t>4/mei</t>
  </si>
  <si>
    <t>5/mei</t>
  </si>
  <si>
    <t>6/mei</t>
  </si>
  <si>
    <t>7/mei</t>
  </si>
  <si>
    <t>8/mei</t>
  </si>
  <si>
    <t>9/mei</t>
  </si>
  <si>
    <t>10/mei</t>
  </si>
  <si>
    <t>11/mei</t>
  </si>
  <si>
    <t>12/mei</t>
  </si>
  <si>
    <t>13/mei</t>
  </si>
  <si>
    <t>14/mei</t>
  </si>
  <si>
    <t>15/mei</t>
  </si>
  <si>
    <t>16/mei</t>
  </si>
  <si>
    <t>17/mei</t>
  </si>
  <si>
    <t>18/mei</t>
  </si>
  <si>
    <t>19/mei</t>
  </si>
  <si>
    <t>20/mei</t>
  </si>
  <si>
    <t>21/mei</t>
  </si>
  <si>
    <t>22/mei</t>
  </si>
  <si>
    <t>23/mei</t>
  </si>
  <si>
    <t>24/mei</t>
  </si>
  <si>
    <t>25/mei</t>
  </si>
  <si>
    <t>26/mei</t>
  </si>
  <si>
    <t>27/mei</t>
  </si>
  <si>
    <t>28/mei</t>
  </si>
  <si>
    <t>29/mei</t>
  </si>
  <si>
    <t>30/mei</t>
  </si>
  <si>
    <t>31/mei</t>
  </si>
  <si>
    <t>Maandoverzicht MEI</t>
  </si>
  <si>
    <t>1/jun</t>
  </si>
  <si>
    <t>2/jun</t>
  </si>
  <si>
    <t>3/jun</t>
  </si>
  <si>
    <t>4/jun</t>
  </si>
  <si>
    <t>5/jun</t>
  </si>
  <si>
    <t>6/jun</t>
  </si>
  <si>
    <t>7/jun</t>
  </si>
  <si>
    <t>8/jun</t>
  </si>
  <si>
    <t>9/jun</t>
  </si>
  <si>
    <t>10/jun</t>
  </si>
  <si>
    <t>11/jun</t>
  </si>
  <si>
    <t>12/jun</t>
  </si>
  <si>
    <t>13/jun</t>
  </si>
  <si>
    <t>14/jun</t>
  </si>
  <si>
    <t>15/jun</t>
  </si>
  <si>
    <t>16/jun</t>
  </si>
  <si>
    <t>17/jun</t>
  </si>
  <si>
    <t>18/jun</t>
  </si>
  <si>
    <t>19/jun</t>
  </si>
  <si>
    <t>20/jun</t>
  </si>
  <si>
    <t>21/jun</t>
  </si>
  <si>
    <t>22/jun</t>
  </si>
  <si>
    <t>23/jun</t>
  </si>
  <si>
    <t>24/jun</t>
  </si>
  <si>
    <t>25/jun</t>
  </si>
  <si>
    <t>26/jun</t>
  </si>
  <si>
    <t>27/jun</t>
  </si>
  <si>
    <t>28/jun</t>
  </si>
  <si>
    <t>29/jun</t>
  </si>
  <si>
    <t>30/jun</t>
  </si>
  <si>
    <t>Maandoverzicht JUNI</t>
  </si>
  <si>
    <t>1/jul</t>
  </si>
  <si>
    <t>2/jul</t>
  </si>
  <si>
    <t>3/jul</t>
  </si>
  <si>
    <t>4/jul</t>
  </si>
  <si>
    <t>5/jul</t>
  </si>
  <si>
    <t>6/jul</t>
  </si>
  <si>
    <t>7/jul</t>
  </si>
  <si>
    <t>8/jul</t>
  </si>
  <si>
    <t>9/jul</t>
  </si>
  <si>
    <t>10/jul</t>
  </si>
  <si>
    <t>11/jul</t>
  </si>
  <si>
    <t>12/jul</t>
  </si>
  <si>
    <t>13/jul</t>
  </si>
  <si>
    <t>14/jul</t>
  </si>
  <si>
    <t>15/jul</t>
  </si>
  <si>
    <t>16/jul</t>
  </si>
  <si>
    <t>17/jul</t>
  </si>
  <si>
    <t>18/jul</t>
  </si>
  <si>
    <t>19/jul</t>
  </si>
  <si>
    <t>20/jul</t>
  </si>
  <si>
    <t>21/jul</t>
  </si>
  <si>
    <t>22/jul</t>
  </si>
  <si>
    <t>23/jul</t>
  </si>
  <si>
    <t>24/jul</t>
  </si>
  <si>
    <t>25/jul</t>
  </si>
  <si>
    <t>26/jul</t>
  </si>
  <si>
    <t>27/jul</t>
  </si>
  <si>
    <t>28/jul</t>
  </si>
  <si>
    <t>29/jul</t>
  </si>
  <si>
    <t>30/jul</t>
  </si>
  <si>
    <t>31/jul</t>
  </si>
  <si>
    <t>Maandoverzicht JULI</t>
  </si>
  <si>
    <t>(uitbetaling september)</t>
  </si>
  <si>
    <t>1/aug</t>
  </si>
  <si>
    <t>2/aug</t>
  </si>
  <si>
    <t>3/aug</t>
  </si>
  <si>
    <t>4/aug</t>
  </si>
  <si>
    <t>5/aug</t>
  </si>
  <si>
    <t>6/aug</t>
  </si>
  <si>
    <t>7/aug</t>
  </si>
  <si>
    <t>8/aug</t>
  </si>
  <si>
    <t>9/aug</t>
  </si>
  <si>
    <t>10/aug</t>
  </si>
  <si>
    <t>11/aug</t>
  </si>
  <si>
    <t>12/aug</t>
  </si>
  <si>
    <t>13/aug</t>
  </si>
  <si>
    <t>14/aug</t>
  </si>
  <si>
    <t>15/aug</t>
  </si>
  <si>
    <t>16/aug</t>
  </si>
  <si>
    <t>17/aug</t>
  </si>
  <si>
    <t>18/aug</t>
  </si>
  <si>
    <t>19/aug</t>
  </si>
  <si>
    <t>20/aug</t>
  </si>
  <si>
    <t>21/aug</t>
  </si>
  <si>
    <t>22/aug</t>
  </si>
  <si>
    <t>23/aug</t>
  </si>
  <si>
    <t>24/aug</t>
  </si>
  <si>
    <t>25/aug</t>
  </si>
  <si>
    <t>26/aug</t>
  </si>
  <si>
    <t>27/aug</t>
  </si>
  <si>
    <t>28/aug</t>
  </si>
  <si>
    <t>29/aug</t>
  </si>
  <si>
    <t>30/aug</t>
  </si>
  <si>
    <t>31/aug</t>
  </si>
  <si>
    <t>Maandoverzicht AUGUSTUS</t>
  </si>
  <si>
    <t>(uitbetaling oktober)</t>
  </si>
  <si>
    <t>1/sep</t>
  </si>
  <si>
    <t>2/sep</t>
  </si>
  <si>
    <t>3/sep</t>
  </si>
  <si>
    <t>4/sep</t>
  </si>
  <si>
    <t>5/sep</t>
  </si>
  <si>
    <t>6/sep</t>
  </si>
  <si>
    <t>7/sep</t>
  </si>
  <si>
    <t>8/sep</t>
  </si>
  <si>
    <t>9/sep</t>
  </si>
  <si>
    <t>10/sep</t>
  </si>
  <si>
    <t>11/sep</t>
  </si>
  <si>
    <t>12/sep</t>
  </si>
  <si>
    <t>13/sep</t>
  </si>
  <si>
    <t>14/sep</t>
  </si>
  <si>
    <t>15/sep</t>
  </si>
  <si>
    <t>16/sep</t>
  </si>
  <si>
    <t>17/sep</t>
  </si>
  <si>
    <t>18/sep</t>
  </si>
  <si>
    <t>19/sep</t>
  </si>
  <si>
    <t>20/sep</t>
  </si>
  <si>
    <t>21/sep</t>
  </si>
  <si>
    <t>22/sep</t>
  </si>
  <si>
    <t>23/sep</t>
  </si>
  <si>
    <t>24/sep</t>
  </si>
  <si>
    <t>25/sep</t>
  </si>
  <si>
    <t>26/sep</t>
  </si>
  <si>
    <t>27/sep</t>
  </si>
  <si>
    <t>28/sep</t>
  </si>
  <si>
    <t>29/sep</t>
  </si>
  <si>
    <t>30/sep</t>
  </si>
  <si>
    <t>Maandoverzicht SEPTEMBER</t>
  </si>
  <si>
    <t xml:space="preserve">   </t>
  </si>
  <si>
    <t>1/okt</t>
  </si>
  <si>
    <t>2/okt</t>
  </si>
  <si>
    <t>3/okt</t>
  </si>
  <si>
    <t>4/okt</t>
  </si>
  <si>
    <t>5/okt</t>
  </si>
  <si>
    <t>6/okt</t>
  </si>
  <si>
    <t>7/okt</t>
  </si>
  <si>
    <t>8/okt</t>
  </si>
  <si>
    <t>9/okt</t>
  </si>
  <si>
    <t>10/okt</t>
  </si>
  <si>
    <t>11/okt</t>
  </si>
  <si>
    <t>12/okt</t>
  </si>
  <si>
    <t>13/okt</t>
  </si>
  <si>
    <t>14/okt</t>
  </si>
  <si>
    <t>15/okt</t>
  </si>
  <si>
    <t>16/okt</t>
  </si>
  <si>
    <t>17/okt</t>
  </si>
  <si>
    <t>18/okt</t>
  </si>
  <si>
    <t>19/okt</t>
  </si>
  <si>
    <t>20/okt</t>
  </si>
  <si>
    <t>21/okt</t>
  </si>
  <si>
    <t>22/okt</t>
  </si>
  <si>
    <t>23/okt</t>
  </si>
  <si>
    <t>24/okt</t>
  </si>
  <si>
    <t>25/okt</t>
  </si>
  <si>
    <t>26/okt</t>
  </si>
  <si>
    <t>27/okt</t>
  </si>
  <si>
    <t>28/okt</t>
  </si>
  <si>
    <t>29/okt</t>
  </si>
  <si>
    <t>30/okt</t>
  </si>
  <si>
    <t>31/okt</t>
  </si>
  <si>
    <t>Maandoverzicht OKTOBER</t>
  </si>
  <si>
    <t>(uitbetaling december)</t>
  </si>
  <si>
    <t>1/nov</t>
  </si>
  <si>
    <t>2/nov</t>
  </si>
  <si>
    <t>3/nov</t>
  </si>
  <si>
    <t>4/nov</t>
  </si>
  <si>
    <t>5/nov</t>
  </si>
  <si>
    <t>6/nov</t>
  </si>
  <si>
    <t>7/nov</t>
  </si>
  <si>
    <t>8/nov</t>
  </si>
  <si>
    <t>9/nov</t>
  </si>
  <si>
    <t>10/nov</t>
  </si>
  <si>
    <t>11/nov</t>
  </si>
  <si>
    <t>12/nov</t>
  </si>
  <si>
    <t>13/nov</t>
  </si>
  <si>
    <t>14/nov</t>
  </si>
  <si>
    <t>15/nov</t>
  </si>
  <si>
    <t>16/nov</t>
  </si>
  <si>
    <t>17/nov</t>
  </si>
  <si>
    <t>18/nov</t>
  </si>
  <si>
    <t>19/nov</t>
  </si>
  <si>
    <t>20/nov</t>
  </si>
  <si>
    <t>21/nov</t>
  </si>
  <si>
    <t>22/nov</t>
  </si>
  <si>
    <t>23/nov</t>
  </si>
  <si>
    <t>24/nov</t>
  </si>
  <si>
    <t>25/nov</t>
  </si>
  <si>
    <t>26/nov</t>
  </si>
  <si>
    <t>27/nov</t>
  </si>
  <si>
    <t>28/nov</t>
  </si>
  <si>
    <t>29/nov</t>
  </si>
  <si>
    <t>30/nov</t>
  </si>
  <si>
    <t>Maandoverzicht NOVEMBER</t>
  </si>
  <si>
    <t>(uitbetaling januari)</t>
  </si>
  <si>
    <t>BORMS Eddy</t>
  </si>
  <si>
    <t xml:space="preserve">             Verschil</t>
  </si>
  <si>
    <t>1/dec</t>
  </si>
  <si>
    <t>2/dec</t>
  </si>
  <si>
    <t>3/dec</t>
  </si>
  <si>
    <t>4/dec</t>
  </si>
  <si>
    <t>5/dec</t>
  </si>
  <si>
    <t>6/dec</t>
  </si>
  <si>
    <t>7/dec</t>
  </si>
  <si>
    <t>8/dec</t>
  </si>
  <si>
    <t>9/dec</t>
  </si>
  <si>
    <t>10/dec</t>
  </si>
  <si>
    <t>11/dec</t>
  </si>
  <si>
    <t>12/dec</t>
  </si>
  <si>
    <t>13/dec</t>
  </si>
  <si>
    <t>14/dec</t>
  </si>
  <si>
    <t>15/dec</t>
  </si>
  <si>
    <t>16/dec</t>
  </si>
  <si>
    <t>17/dec</t>
  </si>
  <si>
    <t>18/dec</t>
  </si>
  <si>
    <t>19/dec</t>
  </si>
  <si>
    <t>20/dec</t>
  </si>
  <si>
    <t>21/dec</t>
  </si>
  <si>
    <t>22/dec</t>
  </si>
  <si>
    <t>23/dec</t>
  </si>
  <si>
    <t>24/dec</t>
  </si>
  <si>
    <t>25/dec</t>
  </si>
  <si>
    <t>26/dec</t>
  </si>
  <si>
    <t>27/dec</t>
  </si>
  <si>
    <t>28/dec</t>
  </si>
  <si>
    <t>29/dec</t>
  </si>
  <si>
    <t>30/dec</t>
  </si>
  <si>
    <t>31/dec</t>
  </si>
  <si>
    <t>Maandoverzicht DECEMBER</t>
  </si>
  <si>
    <t>Tabel voor de ex-rijkswachters die kozen voor de oude inconiniëntenregeling -Vergelijkende barema's Jaarwedde 100% - Administratieve jaarwedde.</t>
  </si>
  <si>
    <t>Leeftijd</t>
  </si>
  <si>
    <t>WM</t>
  </si>
  <si>
    <t>1WM</t>
  </si>
  <si>
    <t>OWM</t>
  </si>
  <si>
    <t>1OWM</t>
  </si>
  <si>
    <t>Adjt</t>
  </si>
  <si>
    <t>ADC</t>
  </si>
  <si>
    <t>tijd</t>
  </si>
  <si>
    <t>20(0)</t>
  </si>
  <si>
    <t>21(1)</t>
  </si>
  <si>
    <t>22(2)</t>
  </si>
  <si>
    <t>23(3)</t>
  </si>
  <si>
    <t>24(4)</t>
  </si>
  <si>
    <t>25(5)</t>
  </si>
  <si>
    <t>27(7)</t>
  </si>
  <si>
    <t>29(9)</t>
  </si>
  <si>
    <t>31(11)</t>
  </si>
  <si>
    <t>33(13)</t>
  </si>
  <si>
    <t>35(15)</t>
  </si>
  <si>
    <t>37(17)</t>
  </si>
  <si>
    <t>39(19)</t>
  </si>
  <si>
    <t>41(21)</t>
  </si>
  <si>
    <t>43(23)</t>
  </si>
  <si>
    <t>45(25)</t>
  </si>
  <si>
    <t>47(27)</t>
  </si>
  <si>
    <t>49(29)</t>
  </si>
  <si>
    <t>In de kolom "Leeftijd" vindt u tussen haakjes de anciënniteit.</t>
  </si>
  <si>
    <t>Verschil/maand</t>
  </si>
  <si>
    <t>OUD</t>
  </si>
  <si>
    <t>NIEUW</t>
  </si>
  <si>
    <t>Bij overgang</t>
  </si>
  <si>
    <t>Na (19-07)</t>
  </si>
  <si>
    <t>Overuur</t>
  </si>
  <si>
    <t>Na (19-22)</t>
  </si>
  <si>
    <t>Na (22-06)</t>
  </si>
  <si>
    <t>BEREKENING OUD</t>
  </si>
  <si>
    <t>BEREKENING NIEUW</t>
  </si>
  <si>
    <t>Nieuw Statuut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</si>
  <si>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</si>
  <si>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</si>
  <si>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</si>
  <si>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</si>
  <si>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</si>
  <si>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</si>
  <si>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</si>
  <si>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</si>
  <si>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</si>
  <si>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</si>
  <si>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</si>
  <si>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</si>
  <si>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Bij constant positief resultaat</t>
  </si>
  <si>
    <t>eventueel overwegen naar nieuw statuut</t>
  </si>
  <si>
    <t>over te gaan qua inconvenienten</t>
  </si>
  <si>
    <t>(uitbetaling juli)</t>
  </si>
  <si>
    <t>(uitbetaling aug)</t>
  </si>
  <si>
    <t>(uitbetaling november)</t>
  </si>
  <si>
    <t>(uitbetaling februari)</t>
  </si>
  <si>
    <t>Code ' F ' gebruiken voor ALLE</t>
  </si>
  <si>
    <t>feestdagen TIJDENS de week</t>
  </si>
  <si>
    <t>waarop u WERKT</t>
  </si>
  <si>
    <t>Feestdag - niet werken</t>
  </si>
  <si>
    <t>Feestdag - werken</t>
  </si>
  <si>
    <r>
      <t xml:space="preserve">Voor al uw andere vragen kan u terecht op </t>
    </r>
    <r>
      <rPr>
        <u/>
        <sz val="8"/>
        <color rgb="FF00B0F0"/>
        <rFont val="Arial"/>
        <family val="2"/>
      </rPr>
      <t>uurzakboekje@vsoa-pol.be</t>
    </r>
  </si>
  <si>
    <t>Indien u recht heeft op de dagelijkse vergoeding werkelijke onderzoekskosten dan dient u in de kolom Ment/OZ</t>
  </si>
  <si>
    <t>een "x" te zetten.</t>
  </si>
  <si>
    <t>DAGELIJKSE VERGOEDING WERKELIJKE ONDERZOEKSKOSTEN / MENTORTOELAGE</t>
  </si>
  <si>
    <t>Heeft u recht op de mentortoelage dan dient een "m" geplaatst te worden in voornoemde kolom.</t>
  </si>
  <si>
    <t>Indien recht op beide dan dient u "mo" in te vullen.</t>
  </si>
  <si>
    <t>FIETSVERGOEDING</t>
  </si>
  <si>
    <t>WERKEN OP EEN WETTELIJKE / REGLEMENTAIRE FEESTDAG</t>
  </si>
  <si>
    <t>WERKEN OP EEN BRUGDAG</t>
  </si>
  <si>
    <t>Standaard werd de code FV ingevuld voor de wettelijke en reglementaire feestdagen, wat betekent dat u niet werkt en</t>
  </si>
  <si>
    <t xml:space="preserve">forfaitair 7h36 krijgt toegekend voor deze dagen. </t>
  </si>
  <si>
    <t>Indien u wel werkt dient u deze code te wijzigen naar F en vervolgens de prestaties in te vullen.</t>
  </si>
  <si>
    <t>Er worden vervolgens weekenduren berekend, alsook wordt er een extra verlofdag bijgeschreven op uw verloffiche.</t>
  </si>
  <si>
    <t>De vergoeding per afgelegde kilometer wordt hier bepaald en kan aangepast worden</t>
  </si>
  <si>
    <t>Men</t>
  </si>
  <si>
    <t>indien nodig.</t>
  </si>
  <si>
    <t>Dit betekent dat wanneer u niet werkt op deze brugdag u hiervoor forfaitair 7h36 krijgt toegekend.</t>
  </si>
  <si>
    <t>X</t>
  </si>
  <si>
    <t>Indien u wel werkt dient u enkel de prestaties in te vullen. De code VB dient in alle situatues ongewijzigd te blijven</t>
  </si>
  <si>
    <t>gezien er anders geen extra verlofdag wordt bijgeschreven op uw verloffiche.</t>
  </si>
  <si>
    <t>Let op: uitdovend karakter !</t>
  </si>
  <si>
    <t xml:space="preserve"> Zie nota SSGPI-RIO/2019/671</t>
  </si>
  <si>
    <t>Gewerkte feest/brugdagen</t>
  </si>
  <si>
    <t>Bruto - niet geïndexeerd</t>
  </si>
  <si>
    <t>Het uurzakboekje zal geen berekening uitvoeren van het aantal maaltijdcheques. U kan hiervoor terecht binnen Galop.</t>
  </si>
  <si>
    <t>De berekening van de "oude" maaltijdvergoedingen kan u hieronder uit en aanzetten.</t>
  </si>
  <si>
    <t>Maak hier uw keuze:</t>
  </si>
  <si>
    <t>Maaltijdcheques</t>
  </si>
  <si>
    <t>Maaltijdvergoedingen</t>
  </si>
  <si>
    <t>MAALTIJDCHEQUES - MAALTIJDVERGOEDINGEN</t>
  </si>
  <si>
    <t>Zodoende blijven de andere berekeningen overzichtelijk, los van de keuze dewelke u maakte.</t>
  </si>
  <si>
    <t xml:space="preserve"> Zie nota SSGPI-RIO/2022/1131</t>
  </si>
  <si>
    <t>HAU4</t>
  </si>
  <si>
    <t>BASP1</t>
  </si>
  <si>
    <t>BASP2</t>
  </si>
  <si>
    <t>BASP3</t>
  </si>
  <si>
    <t>BASP4</t>
  </si>
  <si>
    <t>BAGP1</t>
  </si>
  <si>
    <t>BAGP2</t>
  </si>
  <si>
    <t>BAGP3</t>
  </si>
  <si>
    <t>BAGP4</t>
  </si>
  <si>
    <t>Uurzakboekje 2026</t>
  </si>
  <si>
    <t>worden overgeschreven van 2025</t>
  </si>
  <si>
    <t>Standaard werd de code VB ingevuld voor de brugdagen in 2026, zijnde 02/01 en 15/05 (HOC381)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</si>
</sst>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h]:mm"/>
    <numFmt numFmtId="165" formatCode="0.0000"/>
    <numFmt numFmtId="166" formatCode="[hh]"/>
  </numFmts>
  <fonts count="54" x14ac:knownFonts="1">
    <font>
      <sz val="10"/>
      <name val="Arial"/>
    </font>
    <font>
      <sz val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8"/>
      <color indexed="10"/>
      <name val="Arial"/>
      <family val="2"/>
    </font>
    <font>
      <b/>
      <sz val="9"/>
      <color indexed="10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b/>
      <sz val="8"/>
      <color indexed="12"/>
      <name val="Arial"/>
      <family val="2"/>
    </font>
    <font>
      <sz val="10"/>
      <name val="Arial"/>
      <family val="2"/>
    </font>
    <font>
      <b/>
      <sz val="9"/>
      <color indexed="48"/>
      <name val="Arial"/>
      <family val="2"/>
    </font>
    <font>
      <b/>
      <sz val="10"/>
      <color indexed="12"/>
      <name val="Arial"/>
      <family val="2"/>
    </font>
    <font>
      <b/>
      <sz val="8"/>
      <color indexed="17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1"/>
      <color indexed="52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4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b/>
      <sz val="8"/>
      <color indexed="9"/>
      <name val="Arial"/>
      <family val="2"/>
    </font>
    <font>
      <b/>
      <sz val="9"/>
      <color indexed="12"/>
      <name val="Arial"/>
      <family val="2"/>
    </font>
    <font>
      <b/>
      <sz val="11"/>
      <color indexed="12"/>
      <name val="Arial"/>
      <family val="2"/>
    </font>
    <font>
      <u/>
      <sz val="8"/>
      <color rgb="FF00B0F0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u/>
      <sz val="9"/>
      <color indexed="10"/>
      <name val="Arial"/>
      <family val="2"/>
    </font>
    <font>
      <sz val="8"/>
      <color rgb="FFFF0000"/>
      <name val="Arial"/>
      <family val="2"/>
    </font>
    <font>
      <b/>
      <u/>
      <sz val="8"/>
      <color theme="4"/>
      <name val="Arial"/>
      <family val="2"/>
    </font>
    <font>
      <sz val="7.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8"/>
      <color theme="0"/>
      <name val="Times New Roman"/>
      <family val="1"/>
    </font>
    <font>
      <sz val="10"/>
      <color theme="0"/>
      <name val="Arial"/>
      <family val="2"/>
    </font>
    <font>
      <b/>
      <sz val="8"/>
      <color rgb="FF0070C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42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4" borderId="0" applyNumberFormat="0" applyBorder="0" applyAlignment="0" applyProtection="0"/>
    <xf numFmtId="0" fontId="23" fillId="2" borderId="0" applyNumberFormat="0" applyBorder="0" applyAlignment="0" applyProtection="0"/>
    <xf numFmtId="0" fontId="23" fillId="5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24" fillId="7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5" fillId="14" borderId="1" applyNumberFormat="0" applyAlignment="0" applyProtection="0"/>
    <xf numFmtId="0" fontId="26" fillId="15" borderId="2" applyNumberFormat="0" applyAlignment="0" applyProtection="0"/>
    <xf numFmtId="0" fontId="22" fillId="0" borderId="3" applyNumberFormat="0" applyFill="0" applyAlignment="0" applyProtection="0"/>
    <xf numFmtId="0" fontId="27" fillId="4" borderId="0" applyNumberFormat="0" applyBorder="0" applyAlignment="0" applyProtection="0"/>
    <xf numFmtId="0" fontId="28" fillId="7" borderId="1" applyNumberFormat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21" fillId="3" borderId="7" applyNumberFormat="0" applyFont="0" applyAlignment="0" applyProtection="0"/>
    <xf numFmtId="0" fontId="33" fillId="16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14" borderId="9" applyNumberForma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446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0" xfId="0" applyFont="1" applyBorder="1" applyProtection="1">
      <protection hidden="1"/>
    </xf>
    <xf numFmtId="0" fontId="1" fillId="0" borderId="0" xfId="0" applyFont="1"/>
    <xf numFmtId="0" fontId="1" fillId="0" borderId="0" xfId="0" quotePrefix="1" applyFont="1" applyProtection="1">
      <protection hidden="1"/>
    </xf>
    <xf numFmtId="0" fontId="5" fillId="0" borderId="12" xfId="0" applyFont="1" applyBorder="1" applyProtection="1">
      <protection hidden="1"/>
    </xf>
    <xf numFmtId="0" fontId="1" fillId="0" borderId="13" xfId="0" applyFont="1" applyBorder="1" applyProtection="1"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18" xfId="0" applyFont="1" applyBorder="1" applyProtection="1">
      <protection hidden="1"/>
    </xf>
    <xf numFmtId="0" fontId="0" fillId="0" borderId="13" xfId="0" applyBorder="1" applyProtection="1"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20" fontId="4" fillId="0" borderId="0" xfId="0" applyNumberFormat="1" applyFont="1" applyAlignment="1" applyProtection="1">
      <alignment horizontal="center"/>
      <protection hidden="1"/>
    </xf>
    <xf numFmtId="20" fontId="1" fillId="0" borderId="0" xfId="0" applyNumberFormat="1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Protection="1">
      <protection hidden="1"/>
    </xf>
    <xf numFmtId="0" fontId="6" fillId="0" borderId="10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right"/>
      <protection hidden="1"/>
    </xf>
    <xf numFmtId="0" fontId="7" fillId="0" borderId="12" xfId="0" applyFont="1" applyBorder="1" applyProtection="1">
      <protection hidden="1"/>
    </xf>
    <xf numFmtId="0" fontId="7" fillId="0" borderId="13" xfId="0" applyFont="1" applyBorder="1" applyProtection="1">
      <protection hidden="1"/>
    </xf>
    <xf numFmtId="0" fontId="7" fillId="0" borderId="19" xfId="0" applyFont="1" applyBorder="1" applyProtection="1">
      <protection hidden="1"/>
    </xf>
    <xf numFmtId="0" fontId="0" fillId="0" borderId="16" xfId="0" applyBorder="1" applyProtection="1">
      <protection hidden="1"/>
    </xf>
    <xf numFmtId="0" fontId="0" fillId="0" borderId="21" xfId="0" applyBorder="1" applyProtection="1">
      <protection hidden="1"/>
    </xf>
    <xf numFmtId="20" fontId="1" fillId="0" borderId="0" xfId="0" applyNumberFormat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20" fontId="1" fillId="0" borderId="0" xfId="0" applyNumberFormat="1" applyFont="1" applyProtection="1">
      <protection hidden="1"/>
    </xf>
    <xf numFmtId="0" fontId="0" fillId="0" borderId="17" xfId="0" applyBorder="1" applyProtection="1">
      <protection hidden="1"/>
    </xf>
    <xf numFmtId="0" fontId="0" fillId="0" borderId="18" xfId="0" applyBorder="1" applyProtection="1">
      <protection hidden="1"/>
    </xf>
    <xf numFmtId="0" fontId="0" fillId="0" borderId="22" xfId="0" applyBorder="1" applyProtection="1">
      <protection hidden="1"/>
    </xf>
    <xf numFmtId="16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left"/>
      <protection hidden="1"/>
    </xf>
    <xf numFmtId="0" fontId="1" fillId="0" borderId="24" xfId="0" applyFont="1" applyBorder="1" applyAlignment="1" applyProtection="1">
      <alignment horizontal="left"/>
      <protection hidden="1"/>
    </xf>
    <xf numFmtId="0" fontId="1" fillId="0" borderId="25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9" xfId="0" applyFont="1" applyBorder="1" applyAlignment="1" applyProtection="1">
      <alignment horizontal="left"/>
      <protection hidden="1"/>
    </xf>
    <xf numFmtId="0" fontId="1" fillId="0" borderId="17" xfId="0" applyFont="1" applyBorder="1" applyAlignment="1" applyProtection="1">
      <alignment horizontal="left"/>
      <protection hidden="1"/>
    </xf>
    <xf numFmtId="0" fontId="1" fillId="0" borderId="18" xfId="0" applyFont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right"/>
      <protection hidden="1"/>
    </xf>
    <xf numFmtId="0" fontId="9" fillId="17" borderId="10" xfId="0" applyFont="1" applyFill="1" applyBorder="1" applyAlignment="1" applyProtection="1">
      <alignment horizontal="center"/>
      <protection locked="0" hidden="1"/>
    </xf>
    <xf numFmtId="1" fontId="1" fillId="0" borderId="0" xfId="0" applyNumberFormat="1" applyFont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" fillId="18" borderId="26" xfId="0" applyFont="1" applyFill="1" applyBorder="1" applyAlignment="1" applyProtection="1">
      <alignment horizontal="center"/>
      <protection hidden="1"/>
    </xf>
    <xf numFmtId="0" fontId="2" fillId="18" borderId="11" xfId="0" applyFont="1" applyFill="1" applyBorder="1" applyAlignment="1" applyProtection="1">
      <alignment horizontal="center"/>
      <protection hidden="1"/>
    </xf>
    <xf numFmtId="0" fontId="0" fillId="0" borderId="15" xfId="0" applyBorder="1" applyProtection="1">
      <protection hidden="1"/>
    </xf>
    <xf numFmtId="0" fontId="11" fillId="0" borderId="0" xfId="0" applyFont="1" applyProtection="1">
      <protection hidden="1"/>
    </xf>
    <xf numFmtId="2" fontId="1" fillId="0" borderId="0" xfId="0" applyNumberFormat="1" applyFont="1" applyProtection="1">
      <protection hidden="1"/>
    </xf>
    <xf numFmtId="0" fontId="1" fillId="0" borderId="27" xfId="0" applyFont="1" applyBorder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28" xfId="0" applyFont="1" applyBorder="1" applyProtection="1">
      <protection hidden="1"/>
    </xf>
    <xf numFmtId="0" fontId="2" fillId="0" borderId="24" xfId="0" applyFont="1" applyBorder="1" applyAlignment="1" applyProtection="1">
      <alignment horizontal="right"/>
      <protection hidden="1"/>
    </xf>
    <xf numFmtId="0" fontId="1" fillId="0" borderId="24" xfId="0" quotePrefix="1" applyFont="1" applyBorder="1" applyAlignment="1" applyProtection="1">
      <alignment horizontal="right"/>
      <protection hidden="1"/>
    </xf>
    <xf numFmtId="0" fontId="1" fillId="0" borderId="24" xfId="0" applyFont="1" applyBorder="1" applyAlignment="1" applyProtection="1">
      <alignment horizontal="right"/>
      <protection hidden="1"/>
    </xf>
    <xf numFmtId="0" fontId="13" fillId="0" borderId="0" xfId="0" applyFont="1" applyProtection="1">
      <protection hidden="1"/>
    </xf>
    <xf numFmtId="0" fontId="1" fillId="0" borderId="0" xfId="0" applyFont="1" applyAlignment="1" applyProtection="1">
      <alignment horizontal="centerContinuous"/>
      <protection hidden="1"/>
    </xf>
    <xf numFmtId="1" fontId="1" fillId="0" borderId="18" xfId="0" applyNumberFormat="1" applyFont="1" applyBorder="1" applyProtection="1">
      <protection hidden="1"/>
    </xf>
    <xf numFmtId="1" fontId="1" fillId="0" borderId="18" xfId="0" applyNumberFormat="1" applyFont="1" applyBorder="1" applyAlignment="1" applyProtection="1">
      <alignment horizontal="right"/>
      <protection hidden="1"/>
    </xf>
    <xf numFmtId="0" fontId="1" fillId="0" borderId="21" xfId="0" applyFont="1" applyBorder="1" applyAlignment="1" applyProtection="1">
      <alignment horizontal="centerContinuous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23" xfId="0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right"/>
      <protection hidden="1"/>
    </xf>
    <xf numFmtId="20" fontId="0" fillId="0" borderId="0" xfId="0" applyNumberFormat="1" applyProtection="1">
      <protection hidden="1"/>
    </xf>
    <xf numFmtId="0" fontId="1" fillId="0" borderId="12" xfId="0" applyFont="1" applyBorder="1" applyProtection="1">
      <protection hidden="1"/>
    </xf>
    <xf numFmtId="0" fontId="1" fillId="0" borderId="23" xfId="0" applyFont="1" applyBorder="1" applyProtection="1">
      <protection hidden="1"/>
    </xf>
    <xf numFmtId="1" fontId="1" fillId="0" borderId="0" xfId="0" applyNumberFormat="1" applyFont="1" applyAlignment="1" applyProtection="1">
      <alignment horizontal="right"/>
      <protection hidden="1"/>
    </xf>
    <xf numFmtId="0" fontId="1" fillId="19" borderId="10" xfId="0" applyFont="1" applyFill="1" applyBorder="1" applyAlignment="1" applyProtection="1">
      <alignment horizontal="right"/>
      <protection locked="0" hidden="1"/>
    </xf>
    <xf numFmtId="0" fontId="0" fillId="0" borderId="24" xfId="0" applyBorder="1" applyProtection="1">
      <protection hidden="1"/>
    </xf>
    <xf numFmtId="0" fontId="1" fillId="0" borderId="22" xfId="0" applyFont="1" applyBorder="1" applyProtection="1">
      <protection hidden="1"/>
    </xf>
    <xf numFmtId="0" fontId="6" fillId="0" borderId="23" xfId="0" applyFont="1" applyBorder="1" applyAlignment="1" applyProtection="1">
      <alignment horizontal="center"/>
      <protection hidden="1"/>
    </xf>
    <xf numFmtId="0" fontId="6" fillId="0" borderId="13" xfId="0" applyFont="1" applyBorder="1" applyProtection="1">
      <protection hidden="1"/>
    </xf>
    <xf numFmtId="0" fontId="1" fillId="0" borderId="19" xfId="0" applyFont="1" applyBorder="1" applyProtection="1">
      <protection hidden="1"/>
    </xf>
    <xf numFmtId="0" fontId="6" fillId="0" borderId="18" xfId="0" applyFont="1" applyBorder="1" applyProtection="1">
      <protection hidden="1"/>
    </xf>
    <xf numFmtId="0" fontId="0" fillId="0" borderId="12" xfId="0" applyBorder="1" applyProtection="1">
      <protection hidden="1"/>
    </xf>
    <xf numFmtId="0" fontId="0" fillId="0" borderId="19" xfId="0" applyBorder="1" applyProtection="1">
      <protection hidden="1"/>
    </xf>
    <xf numFmtId="0" fontId="1" fillId="0" borderId="21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19" borderId="10" xfId="0" applyFill="1" applyBorder="1" applyAlignment="1" applyProtection="1">
      <alignment horizontal="center"/>
      <protection locked="0" hidden="1"/>
    </xf>
    <xf numFmtId="0" fontId="8" fillId="0" borderId="18" xfId="0" applyFont="1" applyBorder="1" applyProtection="1">
      <protection hidden="1"/>
    </xf>
    <xf numFmtId="0" fontId="1" fillId="0" borderId="23" xfId="0" applyFont="1" applyBorder="1" applyProtection="1">
      <protection locked="0" hidden="1"/>
    </xf>
    <xf numFmtId="0" fontId="1" fillId="0" borderId="25" xfId="0" applyFont="1" applyBorder="1" applyProtection="1">
      <protection locked="0" hidden="1"/>
    </xf>
    <xf numFmtId="0" fontId="1" fillId="0" borderId="17" xfId="0" applyFont="1" applyBorder="1" applyProtection="1">
      <protection locked="0" hidden="1"/>
    </xf>
    <xf numFmtId="0" fontId="1" fillId="0" borderId="22" xfId="0" applyFont="1" applyBorder="1" applyProtection="1">
      <protection locked="0" hidden="1"/>
    </xf>
    <xf numFmtId="0" fontId="0" fillId="0" borderId="18" xfId="0" applyBorder="1" applyProtection="1">
      <protection locked="0" hidden="1"/>
    </xf>
    <xf numFmtId="0" fontId="0" fillId="0" borderId="18" xfId="0" applyBorder="1" applyAlignment="1" applyProtection="1">
      <alignment horizontal="center"/>
      <protection locked="0" hidden="1"/>
    </xf>
    <xf numFmtId="0" fontId="1" fillId="0" borderId="24" xfId="0" applyFont="1" applyBorder="1" applyProtection="1">
      <protection hidden="1"/>
    </xf>
    <xf numFmtId="0" fontId="0" fillId="0" borderId="0" xfId="0" applyProtection="1">
      <protection locked="0" hidden="1"/>
    </xf>
    <xf numFmtId="0" fontId="1" fillId="0" borderId="0" xfId="0" applyFont="1" applyProtection="1">
      <protection locked="0" hidden="1"/>
    </xf>
    <xf numFmtId="0" fontId="0" fillId="0" borderId="29" xfId="0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30" xfId="0" applyFont="1" applyBorder="1" applyProtection="1">
      <protection hidden="1"/>
    </xf>
    <xf numFmtId="2" fontId="1" fillId="0" borderId="0" xfId="0" applyNumberFormat="1" applyFont="1" applyAlignment="1" applyProtection="1">
      <alignment horizontal="right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1" fillId="0" borderId="12" xfId="0" applyFont="1" applyBorder="1" applyProtection="1">
      <protection locked="0" hidden="1"/>
    </xf>
    <xf numFmtId="0" fontId="1" fillId="0" borderId="19" xfId="0" applyFont="1" applyBorder="1" applyProtection="1">
      <protection locked="0" hidden="1"/>
    </xf>
    <xf numFmtId="0" fontId="1" fillId="0" borderId="16" xfId="0" applyFont="1" applyBorder="1" applyProtection="1">
      <protection locked="0" hidden="1"/>
    </xf>
    <xf numFmtId="0" fontId="1" fillId="0" borderId="21" xfId="0" applyFont="1" applyBorder="1" applyProtection="1">
      <protection locked="0" hidden="1"/>
    </xf>
    <xf numFmtId="0" fontId="1" fillId="0" borderId="31" xfId="0" applyFont="1" applyBorder="1" applyProtection="1">
      <protection locked="0" hidden="1"/>
    </xf>
    <xf numFmtId="0" fontId="1" fillId="0" borderId="32" xfId="0" applyFont="1" applyBorder="1" applyProtection="1">
      <protection locked="0" hidden="1"/>
    </xf>
    <xf numFmtId="0" fontId="1" fillId="0" borderId="33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Continuous"/>
      <protection hidden="1"/>
    </xf>
    <xf numFmtId="0" fontId="1" fillId="0" borderId="28" xfId="0" applyFont="1" applyBorder="1" applyAlignment="1" applyProtection="1">
      <alignment horizontal="right"/>
      <protection hidden="1"/>
    </xf>
    <xf numFmtId="1" fontId="1" fillId="0" borderId="28" xfId="0" applyNumberFormat="1" applyFont="1" applyBorder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164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22" borderId="1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Protection="1">
      <protection hidden="1"/>
    </xf>
    <xf numFmtId="4" fontId="1" fillId="0" borderId="0" xfId="0" applyNumberFormat="1" applyFont="1" applyProtection="1">
      <protection hidden="1"/>
    </xf>
    <xf numFmtId="4" fontId="1" fillId="0" borderId="21" xfId="0" applyNumberFormat="1" applyFont="1" applyBorder="1" applyProtection="1">
      <protection hidden="1"/>
    </xf>
    <xf numFmtId="0" fontId="6" fillId="0" borderId="0" xfId="0" applyFont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  <protection locked="0" hidden="1"/>
    </xf>
    <xf numFmtId="2" fontId="1" fillId="0" borderId="13" xfId="0" applyNumberFormat="1" applyFont="1" applyBorder="1" applyProtection="1">
      <protection hidden="1"/>
    </xf>
    <xf numFmtId="2" fontId="1" fillId="0" borderId="18" xfId="0" applyNumberFormat="1" applyFont="1" applyBorder="1" applyProtection="1">
      <protection hidden="1"/>
    </xf>
    <xf numFmtId="165" fontId="1" fillId="20" borderId="10" xfId="0" applyNumberFormat="1" applyFont="1" applyFill="1" applyBorder="1" applyAlignment="1" applyProtection="1">
      <alignment horizontal="center"/>
      <protection locked="0" hidden="1"/>
    </xf>
    <xf numFmtId="164" fontId="1" fillId="19" borderId="10" xfId="0" applyNumberFormat="1" applyFont="1" applyFill="1" applyBorder="1" applyAlignment="1" applyProtection="1">
      <alignment horizontal="center"/>
      <protection locked="0" hidden="1"/>
    </xf>
    <xf numFmtId="0" fontId="1" fillId="23" borderId="12" xfId="0" applyFont="1" applyFill="1" applyBorder="1" applyAlignment="1" applyProtection="1">
      <alignment horizontal="left"/>
      <protection hidden="1"/>
    </xf>
    <xf numFmtId="0" fontId="1" fillId="23" borderId="19" xfId="0" applyFont="1" applyFill="1" applyBorder="1" applyAlignment="1" applyProtection="1">
      <alignment horizontal="center"/>
      <protection hidden="1"/>
    </xf>
    <xf numFmtId="0" fontId="1" fillId="23" borderId="16" xfId="0" applyFont="1" applyFill="1" applyBorder="1" applyAlignment="1" applyProtection="1">
      <alignment horizontal="left"/>
      <protection hidden="1"/>
    </xf>
    <xf numFmtId="0" fontId="16" fillId="23" borderId="21" xfId="0" applyFont="1" applyFill="1" applyBorder="1" applyAlignment="1" applyProtection="1">
      <alignment horizontal="center"/>
      <protection hidden="1"/>
    </xf>
    <xf numFmtId="0" fontId="1" fillId="23" borderId="22" xfId="0" applyFont="1" applyFill="1" applyBorder="1" applyAlignment="1" applyProtection="1">
      <alignment horizontal="centerContinuous"/>
      <protection hidden="1"/>
    </xf>
    <xf numFmtId="0" fontId="1" fillId="23" borderId="17" xfId="0" applyFont="1" applyFill="1" applyBorder="1" applyAlignment="1" applyProtection="1">
      <alignment horizontal="centerContinuous"/>
      <protection hidden="1"/>
    </xf>
    <xf numFmtId="166" fontId="1" fillId="0" borderId="0" xfId="0" applyNumberFormat="1" applyFont="1" applyProtection="1">
      <protection hidden="1"/>
    </xf>
    <xf numFmtId="166" fontId="1" fillId="0" borderId="28" xfId="0" applyNumberFormat="1" applyFont="1" applyBorder="1" applyProtection="1">
      <protection hidden="1"/>
    </xf>
    <xf numFmtId="2" fontId="0" fillId="0" borderId="0" xfId="0" applyNumberFormat="1" applyProtection="1"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1" fillId="0" borderId="25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1" fillId="0" borderId="24" xfId="0" quotePrefix="1" applyFont="1" applyBorder="1" applyAlignment="1" applyProtection="1">
      <alignment horizontal="center"/>
      <protection hidden="1"/>
    </xf>
    <xf numFmtId="164" fontId="1" fillId="24" borderId="10" xfId="0" applyNumberFormat="1" applyFont="1" applyFill="1" applyBorder="1" applyAlignment="1" applyProtection="1">
      <alignment horizontal="center"/>
      <protection locked="0" hidden="1"/>
    </xf>
    <xf numFmtId="0" fontId="1" fillId="18" borderId="34" xfId="0" applyFont="1" applyFill="1" applyBorder="1" applyAlignment="1" applyProtection="1">
      <alignment horizontal="center"/>
      <protection hidden="1"/>
    </xf>
    <xf numFmtId="0" fontId="1" fillId="18" borderId="11" xfId="0" applyFont="1" applyFill="1" applyBorder="1" applyAlignment="1" applyProtection="1">
      <alignment horizontal="center"/>
      <protection hidden="1"/>
    </xf>
    <xf numFmtId="20" fontId="1" fillId="18" borderId="26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horizontal="center"/>
      <protection hidden="1"/>
    </xf>
    <xf numFmtId="0" fontId="11" fillId="0" borderId="21" xfId="0" applyFont="1" applyBorder="1" applyProtection="1">
      <protection hidden="1"/>
    </xf>
    <xf numFmtId="20" fontId="11" fillId="0" borderId="21" xfId="0" applyNumberFormat="1" applyFont="1" applyBorder="1" applyProtection="1">
      <protection hidden="1"/>
    </xf>
    <xf numFmtId="0" fontId="11" fillId="0" borderId="20" xfId="0" applyFont="1" applyBorder="1" applyProtection="1">
      <protection hidden="1"/>
    </xf>
    <xf numFmtId="20" fontId="17" fillId="0" borderId="10" xfId="0" applyNumberFormat="1" applyFont="1" applyBorder="1" applyAlignment="1" applyProtection="1">
      <alignment horizontal="right"/>
      <protection locked="0" hidden="1"/>
    </xf>
    <xf numFmtId="20" fontId="17" fillId="0" borderId="10" xfId="0" quotePrefix="1" applyNumberFormat="1" applyFont="1" applyBorder="1" applyAlignment="1" applyProtection="1">
      <alignment horizontal="right"/>
      <protection locked="0" hidden="1"/>
    </xf>
    <xf numFmtId="20" fontId="17" fillId="0" borderId="10" xfId="0" applyNumberFormat="1" applyFont="1" applyBorder="1" applyAlignment="1" applyProtection="1">
      <alignment horizontal="right"/>
      <protection hidden="1"/>
    </xf>
    <xf numFmtId="20" fontId="17" fillId="0" borderId="25" xfId="0" applyNumberFormat="1" applyFont="1" applyBorder="1" applyProtection="1">
      <protection hidden="1"/>
    </xf>
    <xf numFmtId="20" fontId="17" fillId="0" borderId="25" xfId="0" applyNumberFormat="1" applyFont="1" applyBorder="1" applyProtection="1">
      <protection locked="0" hidden="1"/>
    </xf>
    <xf numFmtId="20" fontId="17" fillId="0" borderId="22" xfId="0" applyNumberFormat="1" applyFont="1" applyBorder="1" applyProtection="1">
      <protection locked="0" hidden="1"/>
    </xf>
    <xf numFmtId="20" fontId="17" fillId="0" borderId="19" xfId="0" applyNumberFormat="1" applyFont="1" applyBorder="1" applyProtection="1">
      <protection locked="0" hidden="1"/>
    </xf>
    <xf numFmtId="20" fontId="17" fillId="0" borderId="21" xfId="0" applyNumberFormat="1" applyFont="1" applyBorder="1" applyProtection="1">
      <protection locked="0" hidden="1"/>
    </xf>
    <xf numFmtId="20" fontId="17" fillId="0" borderId="32" xfId="0" applyNumberFormat="1" applyFont="1" applyBorder="1" applyProtection="1">
      <protection locked="0" hidden="1"/>
    </xf>
    <xf numFmtId="0" fontId="1" fillId="23" borderId="22" xfId="0" applyFont="1" applyFill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4" fillId="0" borderId="0" xfId="0" applyFont="1" applyAlignment="1" applyProtection="1">
      <alignment horizontal="left"/>
      <protection hidden="1"/>
    </xf>
    <xf numFmtId="0" fontId="14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" fillId="18" borderId="0" xfId="0" applyFont="1" applyFill="1" applyAlignment="1" applyProtection="1">
      <alignment horizontal="center"/>
      <protection hidden="1"/>
    </xf>
    <xf numFmtId="0" fontId="2" fillId="18" borderId="0" xfId="0" applyFont="1" applyFill="1" applyAlignment="1" applyProtection="1">
      <alignment horizontal="center"/>
      <protection hidden="1"/>
    </xf>
    <xf numFmtId="20" fontId="1" fillId="18" borderId="0" xfId="0" applyNumberFormat="1" applyFont="1" applyFill="1" applyAlignment="1" applyProtection="1">
      <alignment horizont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3" fillId="0" borderId="0" xfId="0" applyFont="1"/>
    <xf numFmtId="0" fontId="5" fillId="0" borderId="0" xfId="0" applyFont="1" applyAlignment="1" applyProtection="1">
      <alignment horizontal="right"/>
      <protection hidden="1"/>
    </xf>
    <xf numFmtId="0" fontId="5" fillId="21" borderId="10" xfId="0" applyFont="1" applyFill="1" applyBorder="1" applyAlignment="1" applyProtection="1">
      <alignment horizontal="centerContinuous"/>
      <protection hidden="1"/>
    </xf>
    <xf numFmtId="9" fontId="5" fillId="21" borderId="33" xfId="0" applyNumberFormat="1" applyFont="1" applyFill="1" applyBorder="1" applyAlignment="1" applyProtection="1">
      <alignment horizontal="center"/>
      <protection hidden="1"/>
    </xf>
    <xf numFmtId="0" fontId="5" fillId="21" borderId="33" xfId="0" applyFont="1" applyFill="1" applyBorder="1" applyAlignment="1" applyProtection="1">
      <alignment horizontal="center"/>
      <protection hidden="1"/>
    </xf>
    <xf numFmtId="0" fontId="5" fillId="19" borderId="10" xfId="0" applyFont="1" applyFill="1" applyBorder="1" applyAlignment="1" applyProtection="1">
      <alignment horizontal="centerContinuous"/>
      <protection hidden="1"/>
    </xf>
    <xf numFmtId="9" fontId="5" fillId="19" borderId="33" xfId="0" applyNumberFormat="1" applyFont="1" applyFill="1" applyBorder="1" applyAlignment="1" applyProtection="1">
      <alignment horizontal="center"/>
      <protection hidden="1"/>
    </xf>
    <xf numFmtId="0" fontId="5" fillId="19" borderId="33" xfId="0" applyFont="1" applyFill="1" applyBorder="1" applyAlignment="1" applyProtection="1">
      <alignment horizontal="center"/>
      <protection hidden="1"/>
    </xf>
    <xf numFmtId="2" fontId="1" fillId="19" borderId="11" xfId="0" applyNumberFormat="1" applyFont="1" applyFill="1" applyBorder="1" applyProtection="1">
      <protection hidden="1"/>
    </xf>
    <xf numFmtId="2" fontId="1" fillId="19" borderId="10" xfId="0" applyNumberFormat="1" applyFont="1" applyFill="1" applyBorder="1" applyProtection="1">
      <protection hidden="1"/>
    </xf>
    <xf numFmtId="0" fontId="5" fillId="0" borderId="0" xfId="0" applyFont="1"/>
    <xf numFmtId="2" fontId="11" fillId="0" borderId="10" xfId="0" applyNumberFormat="1" applyFont="1" applyBorder="1"/>
    <xf numFmtId="0" fontId="5" fillId="0" borderId="0" xfId="0" quotePrefix="1" applyFont="1"/>
    <xf numFmtId="2" fontId="10" fillId="0" borderId="26" xfId="0" applyNumberFormat="1" applyFont="1" applyBorder="1" applyAlignment="1" applyProtection="1">
      <alignment horizontal="center"/>
      <protection locked="0" hidden="1"/>
    </xf>
    <xf numFmtId="2" fontId="10" fillId="0" borderId="34" xfId="0" applyNumberFormat="1" applyFont="1" applyBorder="1" applyAlignment="1" applyProtection="1">
      <alignment horizontal="center"/>
      <protection locked="0" hidden="1"/>
    </xf>
    <xf numFmtId="2" fontId="19" fillId="0" borderId="34" xfId="0" applyNumberFormat="1" applyFont="1" applyBorder="1" applyProtection="1">
      <protection hidden="1"/>
    </xf>
    <xf numFmtId="2" fontId="19" fillId="0" borderId="11" xfId="0" applyNumberFormat="1" applyFont="1" applyBorder="1" applyProtection="1">
      <protection hidden="1"/>
    </xf>
    <xf numFmtId="2" fontId="10" fillId="0" borderId="11" xfId="0" applyNumberFormat="1" applyFont="1" applyBorder="1" applyAlignment="1" applyProtection="1">
      <alignment horizontal="center"/>
      <protection locked="0" hidden="1"/>
    </xf>
    <xf numFmtId="0" fontId="15" fillId="0" borderId="0" xfId="0" applyFont="1" applyProtection="1">
      <protection hidden="1"/>
    </xf>
    <xf numFmtId="16" fontId="1" fillId="0" borderId="0" xfId="0" quotePrefix="1" applyNumberFormat="1" applyFont="1" applyProtection="1">
      <protection hidden="1"/>
    </xf>
    <xf numFmtId="2" fontId="1" fillId="0" borderId="17" xfId="0" applyNumberFormat="1" applyFont="1" applyBorder="1" applyProtection="1">
      <protection hidden="1"/>
    </xf>
    <xf numFmtId="2" fontId="1" fillId="0" borderId="16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164" fontId="1" fillId="0" borderId="17" xfId="0" applyNumberFormat="1" applyFont="1" applyBorder="1" applyProtection="1">
      <protection hidden="1"/>
    </xf>
    <xf numFmtId="2" fontId="1" fillId="21" borderId="11" xfId="0" applyNumberFormat="1" applyFont="1" applyFill="1" applyBorder="1" applyProtection="1">
      <protection hidden="1"/>
    </xf>
    <xf numFmtId="2" fontId="1" fillId="21" borderId="10" xfId="0" applyNumberFormat="1" applyFont="1" applyFill="1" applyBorder="1" applyProtection="1">
      <protection hidden="1"/>
    </xf>
    <xf numFmtId="0" fontId="1" fillId="0" borderId="35" xfId="0" applyFont="1" applyBorder="1" applyProtection="1">
      <protection hidden="1"/>
    </xf>
    <xf numFmtId="0" fontId="1" fillId="0" borderId="0" xfId="0" applyFont="1" applyAlignment="1">
      <alignment horizontal="center"/>
    </xf>
    <xf numFmtId="0" fontId="5" fillId="23" borderId="17" xfId="0" applyFont="1" applyFill="1" applyBorder="1" applyAlignment="1" applyProtection="1">
      <alignment horizontal="center"/>
      <protection hidden="1"/>
    </xf>
    <xf numFmtId="0" fontId="5" fillId="23" borderId="18" xfId="0" applyFont="1" applyFill="1" applyBorder="1" applyAlignment="1" applyProtection="1">
      <alignment horizontal="center"/>
      <protection hidden="1"/>
    </xf>
    <xf numFmtId="166" fontId="5" fillId="23" borderId="22" xfId="0" applyNumberFormat="1" applyFont="1" applyFill="1" applyBorder="1" applyAlignment="1" applyProtection="1">
      <alignment horizontal="center"/>
      <protection hidden="1"/>
    </xf>
    <xf numFmtId="166" fontId="5" fillId="23" borderId="18" xfId="0" applyNumberFormat="1" applyFont="1" applyFill="1" applyBorder="1" applyAlignment="1" applyProtection="1">
      <alignment horizontal="center"/>
      <protection hidden="1"/>
    </xf>
    <xf numFmtId="2" fontId="5" fillId="23" borderId="18" xfId="0" applyNumberFormat="1" applyFont="1" applyFill="1" applyBorder="1" applyProtection="1">
      <protection hidden="1"/>
    </xf>
    <xf numFmtId="0" fontId="10" fillId="23" borderId="26" xfId="0" applyFont="1" applyFill="1" applyBorder="1" applyAlignment="1" applyProtection="1">
      <alignment horizontal="center"/>
      <protection hidden="1"/>
    </xf>
    <xf numFmtId="0" fontId="10" fillId="23" borderId="34" xfId="0" applyFont="1" applyFill="1" applyBorder="1" applyAlignment="1" applyProtection="1">
      <alignment horizontal="center"/>
      <protection locked="0" hidden="1"/>
    </xf>
    <xf numFmtId="0" fontId="10" fillId="23" borderId="11" xfId="0" applyFont="1" applyFill="1" applyBorder="1" applyAlignment="1" applyProtection="1">
      <alignment horizontal="center"/>
      <protection locked="0" hidden="1"/>
    </xf>
    <xf numFmtId="0" fontId="19" fillId="23" borderId="26" xfId="0" applyFont="1" applyFill="1" applyBorder="1" applyAlignment="1" applyProtection="1">
      <alignment horizontal="center"/>
      <protection hidden="1"/>
    </xf>
    <xf numFmtId="0" fontId="19" fillId="23" borderId="11" xfId="0" applyFont="1" applyFill="1" applyBorder="1" applyAlignment="1" applyProtection="1">
      <alignment horizontal="center"/>
      <protection hidden="1"/>
    </xf>
    <xf numFmtId="0" fontId="5" fillId="23" borderId="10" xfId="0" applyFont="1" applyFill="1" applyBorder="1" applyProtection="1">
      <protection hidden="1"/>
    </xf>
    <xf numFmtId="0" fontId="5" fillId="23" borderId="11" xfId="0" applyFont="1" applyFill="1" applyBorder="1" applyProtection="1">
      <protection hidden="1"/>
    </xf>
    <xf numFmtId="1" fontId="5" fillId="21" borderId="23" xfId="0" applyNumberFormat="1" applyFont="1" applyFill="1" applyBorder="1" applyAlignment="1" applyProtection="1">
      <alignment horizontal="center"/>
      <protection hidden="1"/>
    </xf>
    <xf numFmtId="1" fontId="5" fillId="21" borderId="24" xfId="0" applyNumberFormat="1" applyFont="1" applyFill="1" applyBorder="1" applyAlignment="1" applyProtection="1">
      <alignment horizontal="center"/>
      <protection hidden="1"/>
    </xf>
    <xf numFmtId="1" fontId="5" fillId="21" borderId="25" xfId="0" applyNumberFormat="1" applyFont="1" applyFill="1" applyBorder="1" applyAlignment="1" applyProtection="1">
      <alignment horizontal="center"/>
      <protection hidden="1"/>
    </xf>
    <xf numFmtId="1" fontId="5" fillId="21" borderId="17" xfId="0" applyNumberFormat="1" applyFont="1" applyFill="1" applyBorder="1" applyAlignment="1" applyProtection="1">
      <alignment horizontal="center"/>
      <protection hidden="1"/>
    </xf>
    <xf numFmtId="1" fontId="5" fillId="21" borderId="18" xfId="0" applyNumberFormat="1" applyFont="1" applyFill="1" applyBorder="1" applyAlignment="1" applyProtection="1">
      <alignment horizontal="center"/>
      <protection hidden="1"/>
    </xf>
    <xf numFmtId="1" fontId="5" fillId="21" borderId="22" xfId="0" applyNumberFormat="1" applyFont="1" applyFill="1" applyBorder="1" applyAlignment="1" applyProtection="1">
      <alignment horizontal="center"/>
      <protection hidden="1"/>
    </xf>
    <xf numFmtId="1" fontId="5" fillId="20" borderId="23" xfId="0" applyNumberFormat="1" applyFont="1" applyFill="1" applyBorder="1" applyAlignment="1" applyProtection="1">
      <alignment horizontal="center"/>
      <protection hidden="1"/>
    </xf>
    <xf numFmtId="1" fontId="5" fillId="20" borderId="24" xfId="0" applyNumberFormat="1" applyFont="1" applyFill="1" applyBorder="1" applyAlignment="1" applyProtection="1">
      <alignment horizontal="center"/>
      <protection hidden="1"/>
    </xf>
    <xf numFmtId="1" fontId="5" fillId="20" borderId="25" xfId="0" applyNumberFormat="1" applyFont="1" applyFill="1" applyBorder="1" applyAlignment="1" applyProtection="1">
      <alignment horizontal="center"/>
      <protection hidden="1"/>
    </xf>
    <xf numFmtId="1" fontId="5" fillId="20" borderId="17" xfId="0" applyNumberFormat="1" applyFont="1" applyFill="1" applyBorder="1" applyAlignment="1" applyProtection="1">
      <alignment horizontal="center"/>
      <protection hidden="1"/>
    </xf>
    <xf numFmtId="1" fontId="5" fillId="20" borderId="18" xfId="0" applyNumberFormat="1" applyFont="1" applyFill="1" applyBorder="1" applyAlignment="1" applyProtection="1">
      <alignment horizontal="center"/>
      <protection hidden="1"/>
    </xf>
    <xf numFmtId="1" fontId="5" fillId="20" borderId="22" xfId="0" applyNumberFormat="1" applyFont="1" applyFill="1" applyBorder="1" applyAlignment="1" applyProtection="1">
      <alignment horizontal="center"/>
      <protection hidden="1"/>
    </xf>
    <xf numFmtId="2" fontId="5" fillId="20" borderId="23" xfId="0" applyNumberFormat="1" applyFont="1" applyFill="1" applyBorder="1" applyProtection="1">
      <protection hidden="1"/>
    </xf>
    <xf numFmtId="0" fontId="1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locked="0" hidden="1"/>
    </xf>
    <xf numFmtId="0" fontId="5" fillId="20" borderId="25" xfId="0" applyFont="1" applyFill="1" applyBorder="1" applyProtection="1">
      <protection hidden="1"/>
    </xf>
    <xf numFmtId="0" fontId="0" fillId="20" borderId="25" xfId="0" applyFill="1" applyBorder="1" applyProtection="1">
      <protection hidden="1"/>
    </xf>
    <xf numFmtId="0" fontId="0" fillId="20" borderId="25" xfId="0" applyFill="1" applyBorder="1"/>
    <xf numFmtId="2" fontId="5" fillId="20" borderId="17" xfId="0" applyNumberFormat="1" applyFont="1" applyFill="1" applyBorder="1" applyProtection="1">
      <protection hidden="1"/>
    </xf>
    <xf numFmtId="0" fontId="0" fillId="20" borderId="22" xfId="0" applyFill="1" applyBorder="1"/>
    <xf numFmtId="2" fontId="5" fillId="21" borderId="23" xfId="0" applyNumberFormat="1" applyFont="1" applyFill="1" applyBorder="1" applyProtection="1">
      <protection hidden="1"/>
    </xf>
    <xf numFmtId="0" fontId="5" fillId="21" borderId="25" xfId="0" applyFont="1" applyFill="1" applyBorder="1"/>
    <xf numFmtId="2" fontId="5" fillId="21" borderId="25" xfId="0" applyNumberFormat="1" applyFont="1" applyFill="1" applyBorder="1" applyProtection="1">
      <protection hidden="1"/>
    </xf>
    <xf numFmtId="2" fontId="5" fillId="21" borderId="17" xfId="0" applyNumberFormat="1" applyFont="1" applyFill="1" applyBorder="1" applyProtection="1">
      <protection hidden="1"/>
    </xf>
    <xf numFmtId="2" fontId="5" fillId="21" borderId="22" xfId="0" applyNumberFormat="1" applyFont="1" applyFill="1" applyBorder="1" applyProtection="1">
      <protection hidden="1"/>
    </xf>
    <xf numFmtId="0" fontId="6" fillId="0" borderId="23" xfId="0" applyFont="1" applyBorder="1" applyAlignment="1" applyProtection="1">
      <alignment horizontal="center"/>
      <protection locked="0" hidden="1"/>
    </xf>
    <xf numFmtId="0" fontId="6" fillId="0" borderId="17" xfId="0" applyFont="1" applyBorder="1" applyAlignment="1" applyProtection="1">
      <alignment horizontal="center"/>
      <protection locked="0" hidden="1"/>
    </xf>
    <xf numFmtId="0" fontId="6" fillId="0" borderId="12" xfId="0" applyFont="1" applyBorder="1" applyAlignment="1" applyProtection="1">
      <alignment horizontal="center"/>
      <protection locked="0" hidden="1"/>
    </xf>
    <xf numFmtId="0" fontId="6" fillId="0" borderId="16" xfId="0" applyFont="1" applyBorder="1" applyAlignment="1" applyProtection="1">
      <alignment horizontal="center"/>
      <protection locked="0" hidden="1"/>
    </xf>
    <xf numFmtId="0" fontId="6" fillId="0" borderId="31" xfId="0" applyFont="1" applyBorder="1" applyAlignment="1" applyProtection="1">
      <alignment horizontal="center"/>
      <protection locked="0" hidden="1"/>
    </xf>
    <xf numFmtId="2" fontId="15" fillId="23" borderId="12" xfId="0" applyNumberFormat="1" applyFont="1" applyFill="1" applyBorder="1" applyAlignment="1" applyProtection="1">
      <alignment horizontal="centerContinuous"/>
      <protection hidden="1"/>
    </xf>
    <xf numFmtId="2" fontId="15" fillId="23" borderId="13" xfId="0" applyNumberFormat="1" applyFont="1" applyFill="1" applyBorder="1" applyAlignment="1" applyProtection="1">
      <alignment horizontal="centerContinuous"/>
      <protection hidden="1"/>
    </xf>
    <xf numFmtId="2" fontId="15" fillId="23" borderId="19" xfId="0" applyNumberFormat="1" applyFont="1" applyFill="1" applyBorder="1" applyAlignment="1" applyProtection="1">
      <alignment horizontal="centerContinuous"/>
      <protection hidden="1"/>
    </xf>
    <xf numFmtId="166" fontId="15" fillId="23" borderId="12" xfId="0" applyNumberFormat="1" applyFont="1" applyFill="1" applyBorder="1" applyAlignment="1" applyProtection="1">
      <alignment horizontal="centerContinuous"/>
      <protection hidden="1"/>
    </xf>
    <xf numFmtId="166" fontId="15" fillId="23" borderId="13" xfId="0" applyNumberFormat="1" applyFont="1" applyFill="1" applyBorder="1" applyAlignment="1" applyProtection="1">
      <alignment horizontal="centerContinuous"/>
      <protection hidden="1"/>
    </xf>
    <xf numFmtId="166" fontId="15" fillId="23" borderId="19" xfId="0" applyNumberFormat="1" applyFont="1" applyFill="1" applyBorder="1" applyAlignment="1" applyProtection="1">
      <alignment horizontal="centerContinuous"/>
      <protection hidden="1"/>
    </xf>
    <xf numFmtId="2" fontId="15" fillId="23" borderId="23" xfId="0" applyNumberFormat="1" applyFont="1" applyFill="1" applyBorder="1" applyAlignment="1" applyProtection="1">
      <alignment horizontal="left"/>
      <protection hidden="1"/>
    </xf>
    <xf numFmtId="2" fontId="15" fillId="23" borderId="25" xfId="0" applyNumberFormat="1" applyFont="1" applyFill="1" applyBorder="1" applyAlignment="1" applyProtection="1">
      <alignment horizontal="left"/>
      <protection hidden="1"/>
    </xf>
    <xf numFmtId="2" fontId="15" fillId="23" borderId="24" xfId="0" applyNumberFormat="1" applyFont="1" applyFill="1" applyBorder="1" applyAlignment="1" applyProtection="1">
      <alignment horizontal="left"/>
      <protection hidden="1"/>
    </xf>
    <xf numFmtId="2" fontId="0" fillId="0" borderId="0" xfId="0" applyNumberFormat="1" applyAlignment="1" applyProtection="1">
      <alignment horizontal="left"/>
      <protection hidden="1"/>
    </xf>
    <xf numFmtId="2" fontId="1" fillId="0" borderId="0" xfId="0" applyNumberFormat="1" applyFont="1" applyAlignment="1" applyProtection="1">
      <alignment horizontal="left"/>
      <protection hidden="1"/>
    </xf>
    <xf numFmtId="0" fontId="6" fillId="0" borderId="16" xfId="0" applyFont="1" applyBorder="1" applyAlignment="1" applyProtection="1">
      <alignment horizontal="right"/>
      <protection hidden="1"/>
    </xf>
    <xf numFmtId="164" fontId="1" fillId="20" borderId="10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5" fontId="8" fillId="0" borderId="0" xfId="0" applyNumberFormat="1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2" fontId="8" fillId="0" borderId="0" xfId="0" applyNumberFormat="1" applyFont="1" applyProtection="1">
      <protection hidden="1"/>
    </xf>
    <xf numFmtId="2" fontId="8" fillId="0" borderId="0" xfId="0" applyNumberFormat="1" applyFont="1" applyAlignment="1" applyProtection="1">
      <alignment horizontal="right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Continuous" vertical="center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8" fillId="0" borderId="0" xfId="0" applyFont="1" applyAlignment="1" applyProtection="1">
      <alignment wrapText="1"/>
      <protection hidden="1"/>
    </xf>
    <xf numFmtId="0" fontId="39" fillId="0" borderId="0" xfId="0" applyFont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0" fontId="41" fillId="0" borderId="0" xfId="0" applyFont="1" applyProtection="1">
      <protection hidden="1"/>
    </xf>
    <xf numFmtId="0" fontId="1" fillId="26" borderId="10" xfId="0" applyFont="1" applyFill="1" applyBorder="1" applyProtection="1">
      <protection hidden="1"/>
    </xf>
    <xf numFmtId="164" fontId="1" fillId="26" borderId="10" xfId="0" applyNumberFormat="1" applyFont="1" applyFill="1" applyBorder="1" applyAlignment="1" applyProtection="1">
      <alignment horizontal="center"/>
      <protection locked="0" hidden="1"/>
    </xf>
    <xf numFmtId="166" fontId="1" fillId="0" borderId="36" xfId="0" applyNumberFormat="1" applyFont="1" applyBorder="1" applyProtection="1">
      <protection hidden="1"/>
    </xf>
    <xf numFmtId="20" fontId="43" fillId="0" borderId="10" xfId="0" applyNumberFormat="1" applyFont="1" applyBorder="1" applyAlignment="1" applyProtection="1">
      <alignment horizontal="right"/>
      <protection locked="0" hidden="1"/>
    </xf>
    <xf numFmtId="0" fontId="44" fillId="27" borderId="13" xfId="0" applyFont="1" applyFill="1" applyBorder="1" applyAlignment="1" applyProtection="1">
      <alignment horizontal="center"/>
      <protection hidden="1"/>
    </xf>
    <xf numFmtId="0" fontId="44" fillId="27" borderId="18" xfId="0" applyFont="1" applyFill="1" applyBorder="1" applyAlignment="1" applyProtection="1">
      <alignment horizontal="center"/>
      <protection hidden="1"/>
    </xf>
    <xf numFmtId="0" fontId="44" fillId="27" borderId="16" xfId="0" applyFont="1" applyFill="1" applyBorder="1" applyAlignment="1" applyProtection="1">
      <alignment horizontal="center"/>
      <protection hidden="1"/>
    </xf>
    <xf numFmtId="0" fontId="44" fillId="27" borderId="0" xfId="0" applyFont="1" applyFill="1" applyAlignment="1" applyProtection="1">
      <alignment horizontal="center"/>
      <protection hidden="1"/>
    </xf>
    <xf numFmtId="0" fontId="44" fillId="27" borderId="21" xfId="0" applyFont="1" applyFill="1" applyBorder="1" applyAlignment="1" applyProtection="1">
      <alignment horizontal="center"/>
      <protection hidden="1"/>
    </xf>
    <xf numFmtId="0" fontId="44" fillId="27" borderId="12" xfId="0" applyFont="1" applyFill="1" applyBorder="1" applyAlignment="1" applyProtection="1">
      <alignment horizontal="center"/>
      <protection hidden="1"/>
    </xf>
    <xf numFmtId="0" fontId="44" fillId="27" borderId="19" xfId="0" applyFont="1" applyFill="1" applyBorder="1" applyAlignment="1" applyProtection="1">
      <alignment horizontal="center"/>
      <protection hidden="1"/>
    </xf>
    <xf numFmtId="0" fontId="44" fillId="27" borderId="17" xfId="0" applyFont="1" applyFill="1" applyBorder="1" applyAlignment="1" applyProtection="1">
      <alignment horizontal="center"/>
      <protection hidden="1"/>
    </xf>
    <xf numFmtId="0" fontId="44" fillId="27" borderId="22" xfId="0" applyFont="1" applyFill="1" applyBorder="1" applyAlignment="1" applyProtection="1">
      <alignment horizontal="center"/>
      <protection hidden="1"/>
    </xf>
    <xf numFmtId="0" fontId="44" fillId="27" borderId="23" xfId="0" applyFont="1" applyFill="1" applyBorder="1" applyAlignment="1" applyProtection="1">
      <alignment horizontal="center"/>
      <protection hidden="1"/>
    </xf>
    <xf numFmtId="0" fontId="44" fillId="27" borderId="24" xfId="0" applyFont="1" applyFill="1" applyBorder="1" applyAlignment="1" applyProtection="1">
      <alignment horizontal="center"/>
      <protection hidden="1"/>
    </xf>
    <xf numFmtId="0" fontId="44" fillId="27" borderId="25" xfId="0" applyFont="1" applyFill="1" applyBorder="1" applyAlignment="1" applyProtection="1">
      <alignment horizontal="center"/>
      <protection hidden="1"/>
    </xf>
    <xf numFmtId="0" fontId="1" fillId="27" borderId="0" xfId="0" applyFont="1" applyFill="1" applyProtection="1">
      <protection hidden="1"/>
    </xf>
    <xf numFmtId="0" fontId="1" fillId="27" borderId="12" xfId="0" applyFont="1" applyFill="1" applyBorder="1" applyProtection="1">
      <protection hidden="1"/>
    </xf>
    <xf numFmtId="0" fontId="1" fillId="27" borderId="13" xfId="0" applyFont="1" applyFill="1" applyBorder="1" applyProtection="1">
      <protection hidden="1"/>
    </xf>
    <xf numFmtId="0" fontId="1" fillId="27" borderId="19" xfId="0" applyFont="1" applyFill="1" applyBorder="1" applyProtection="1">
      <protection hidden="1"/>
    </xf>
    <xf numFmtId="2" fontId="17" fillId="0" borderId="10" xfId="0" applyNumberFormat="1" applyFont="1" applyBorder="1" applyAlignment="1" applyProtection="1">
      <alignment horizontal="right"/>
      <protection hidden="1"/>
    </xf>
    <xf numFmtId="0" fontId="45" fillId="0" borderId="0" xfId="0" applyFont="1" applyProtection="1">
      <protection hidden="1"/>
    </xf>
    <xf numFmtId="0" fontId="0" fillId="27" borderId="23" xfId="0" applyFill="1" applyBorder="1" applyProtection="1">
      <protection hidden="1"/>
    </xf>
    <xf numFmtId="0" fontId="0" fillId="27" borderId="24" xfId="0" applyFill="1" applyBorder="1" applyProtection="1">
      <protection hidden="1"/>
    </xf>
    <xf numFmtId="0" fontId="0" fillId="27" borderId="25" xfId="0" applyFill="1" applyBorder="1" applyProtection="1">
      <protection hidden="1"/>
    </xf>
    <xf numFmtId="0" fontId="16" fillId="19" borderId="10" xfId="0" applyFont="1" applyFill="1" applyBorder="1" applyAlignment="1" applyProtection="1">
      <alignment horizontal="center"/>
      <protection locked="0" hidden="1"/>
    </xf>
    <xf numFmtId="164" fontId="1" fillId="26" borderId="0" xfId="0" applyNumberFormat="1" applyFont="1" applyFill="1" applyProtection="1">
      <protection hidden="1"/>
    </xf>
    <xf numFmtId="0" fontId="1" fillId="26" borderId="0" xfId="0" applyFont="1" applyFill="1" applyProtection="1">
      <protection hidden="1"/>
    </xf>
    <xf numFmtId="0" fontId="1" fillId="26" borderId="0" xfId="0" applyFont="1" applyFill="1" applyAlignment="1" applyProtection="1">
      <alignment horizontal="center"/>
      <protection hidden="1"/>
    </xf>
    <xf numFmtId="0" fontId="0" fillId="25" borderId="0" xfId="0" applyFill="1" applyProtection="1">
      <protection hidden="1"/>
    </xf>
    <xf numFmtId="0" fontId="0" fillId="26" borderId="0" xfId="0" applyFill="1" applyProtection="1">
      <protection hidden="1"/>
    </xf>
    <xf numFmtId="2" fontId="1" fillId="26" borderId="0" xfId="0" applyNumberFormat="1" applyFont="1" applyFill="1" applyProtection="1">
      <protection hidden="1"/>
    </xf>
    <xf numFmtId="0" fontId="0" fillId="26" borderId="0" xfId="0" applyFill="1" applyAlignment="1" applyProtection="1">
      <alignment horizontal="center"/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0" fontId="48" fillId="0" borderId="23" xfId="0" applyFont="1" applyBorder="1" applyAlignment="1" applyProtection="1">
      <alignment horizontal="left"/>
      <protection hidden="1"/>
    </xf>
    <xf numFmtId="0" fontId="16" fillId="0" borderId="0" xfId="0" applyFont="1" applyProtection="1">
      <protection hidden="1"/>
    </xf>
    <xf numFmtId="164" fontId="1" fillId="0" borderId="10" xfId="0" applyNumberFormat="1" applyFont="1" applyBorder="1" applyAlignment="1" applyProtection="1">
      <alignment horizontal="center"/>
      <protection locked="0" hidden="1"/>
    </xf>
    <xf numFmtId="16" fontId="1" fillId="0" borderId="10" xfId="0" quotePrefix="1" applyNumberFormat="1" applyFont="1" applyBorder="1" applyAlignment="1" applyProtection="1">
      <alignment horizontal="right"/>
      <protection hidden="1"/>
    </xf>
    <xf numFmtId="0" fontId="1" fillId="0" borderId="10" xfId="0" applyFont="1" applyBorder="1" applyAlignment="1" applyProtection="1">
      <alignment horizontal="center"/>
      <protection locked="0" hidden="1"/>
    </xf>
    <xf numFmtId="164" fontId="1" fillId="0" borderId="10" xfId="0" applyNumberFormat="1" applyFont="1" applyBorder="1" applyAlignment="1" applyProtection="1">
      <alignment horizontal="center"/>
      <protection hidden="1"/>
    </xf>
    <xf numFmtId="164" fontId="1" fillId="0" borderId="25" xfId="0" applyNumberFormat="1" applyFont="1" applyBorder="1" applyAlignment="1" applyProtection="1">
      <alignment horizontal="center"/>
      <protection hidden="1"/>
    </xf>
    <xf numFmtId="164" fontId="20" fillId="0" borderId="0" xfId="0" applyNumberFormat="1" applyFont="1"/>
    <xf numFmtId="164" fontId="20" fillId="0" borderId="0" xfId="0" applyNumberFormat="1" applyFont="1" applyAlignment="1">
      <alignment horizontal="center"/>
    </xf>
    <xf numFmtId="0" fontId="20" fillId="0" borderId="0" xfId="0" applyFont="1"/>
    <xf numFmtId="2" fontId="1" fillId="0" borderId="0" xfId="0" applyNumberFormat="1" applyFont="1" applyAlignment="1" applyProtection="1">
      <alignment horizontal="center"/>
      <protection locked="0" hidden="1"/>
    </xf>
    <xf numFmtId="0" fontId="1" fillId="28" borderId="12" xfId="0" applyFont="1" applyFill="1" applyBorder="1" applyAlignment="1" applyProtection="1">
      <alignment horizontal="centerContinuous"/>
      <protection hidden="1"/>
    </xf>
    <xf numFmtId="0" fontId="1" fillId="28" borderId="13" xfId="0" applyFont="1" applyFill="1" applyBorder="1" applyAlignment="1" applyProtection="1">
      <alignment horizontal="centerContinuous"/>
      <protection hidden="1"/>
    </xf>
    <xf numFmtId="0" fontId="1" fillId="28" borderId="19" xfId="0" applyFont="1" applyFill="1" applyBorder="1" applyAlignment="1" applyProtection="1">
      <alignment horizontal="centerContinuous"/>
      <protection hidden="1"/>
    </xf>
    <xf numFmtId="2" fontId="1" fillId="0" borderId="16" xfId="0" applyNumberFormat="1" applyFont="1" applyBorder="1" applyAlignment="1" applyProtection="1">
      <alignment horizontal="right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28" borderId="10" xfId="0" applyFont="1" applyFill="1" applyBorder="1" applyAlignment="1" applyProtection="1">
      <alignment horizontal="centerContinuous"/>
      <protection hidden="1"/>
    </xf>
    <xf numFmtId="2" fontId="1" fillId="0" borderId="0" xfId="0" applyNumberFormat="1" applyFont="1" applyAlignment="1" applyProtection="1">
      <alignment horizontal="center"/>
      <protection hidden="1"/>
    </xf>
    <xf numFmtId="2" fontId="1" fillId="0" borderId="18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1" fillId="28" borderId="14" xfId="0" applyFont="1" applyFill="1" applyBorder="1" applyAlignment="1" applyProtection="1">
      <alignment horizontal="centerContinuous"/>
      <protection hidden="1"/>
    </xf>
    <xf numFmtId="0" fontId="1" fillId="28" borderId="37" xfId="0" applyFont="1" applyFill="1" applyBorder="1" applyAlignment="1" applyProtection="1">
      <alignment horizontal="centerContinuous"/>
      <protection hidden="1"/>
    </xf>
    <xf numFmtId="0" fontId="1" fillId="28" borderId="15" xfId="0" applyFont="1" applyFill="1" applyBorder="1" applyAlignment="1" applyProtection="1">
      <alignment horizontal="centerContinuous"/>
      <protection hidden="1"/>
    </xf>
    <xf numFmtId="0" fontId="1" fillId="28" borderId="20" xfId="0" applyFont="1" applyFill="1" applyBorder="1" applyAlignment="1" applyProtection="1">
      <alignment horizontal="centerContinuous"/>
      <protection hidden="1"/>
    </xf>
    <xf numFmtId="0" fontId="16" fillId="0" borderId="0" xfId="0" applyFont="1" applyAlignment="1">
      <alignment horizontal="center"/>
    </xf>
    <xf numFmtId="0" fontId="1" fillId="25" borderId="0" xfId="0" applyFont="1" applyFill="1" applyProtection="1">
      <protection locked="0" hidden="1"/>
    </xf>
    <xf numFmtId="0" fontId="1" fillId="29" borderId="0" xfId="0" applyFont="1" applyFill="1" applyProtection="1">
      <protection locked="0" hidden="1"/>
    </xf>
    <xf numFmtId="0" fontId="0" fillId="25" borderId="0" xfId="0" applyFill="1"/>
    <xf numFmtId="164" fontId="1" fillId="0" borderId="11" xfId="0" applyNumberFormat="1" applyFont="1" applyBorder="1" applyAlignment="1" applyProtection="1">
      <alignment horizontal="center"/>
      <protection locked="0" hidden="1"/>
    </xf>
    <xf numFmtId="0" fontId="1" fillId="0" borderId="23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Alignment="1" applyProtection="1">
      <alignment horizontal="center"/>
      <protection hidden="1"/>
    </xf>
    <xf numFmtId="164" fontId="1" fillId="0" borderId="22" xfId="0" applyNumberFormat="1" applyFont="1" applyBorder="1" applyAlignment="1" applyProtection="1">
      <alignment horizontal="center"/>
      <protection hidden="1"/>
    </xf>
    <xf numFmtId="0" fontId="0" fillId="27" borderId="0" xfId="0" applyFill="1" applyProtection="1">
      <protection hidden="1"/>
    </xf>
    <xf numFmtId="0" fontId="0" fillId="27" borderId="0" xfId="0" applyFill="1"/>
    <xf numFmtId="0" fontId="1" fillId="0" borderId="0" xfId="0" applyFont="1" applyAlignment="1" applyProtection="1">
      <alignment horizontal="center"/>
      <protection locked="0" hidden="1"/>
    </xf>
    <xf numFmtId="0" fontId="50" fillId="30" borderId="26" xfId="0" applyFont="1" applyFill="1" applyBorder="1" applyProtection="1">
      <protection hidden="1"/>
    </xf>
    <xf numFmtId="0" fontId="50" fillId="30" borderId="26" xfId="0" applyFont="1" applyFill="1" applyBorder="1" applyAlignment="1" applyProtection="1">
      <alignment horizontal="right"/>
      <protection hidden="1"/>
    </xf>
    <xf numFmtId="0" fontId="50" fillId="30" borderId="12" xfId="0" applyFont="1" applyFill="1" applyBorder="1" applyAlignment="1" applyProtection="1">
      <alignment horizontal="center"/>
      <protection hidden="1"/>
    </xf>
    <xf numFmtId="0" fontId="50" fillId="30" borderId="23" xfId="0" applyFont="1" applyFill="1" applyBorder="1" applyAlignment="1" applyProtection="1">
      <alignment horizontal="centerContinuous"/>
      <protection hidden="1"/>
    </xf>
    <xf numFmtId="0" fontId="50" fillId="30" borderId="25" xfId="0" applyFont="1" applyFill="1" applyBorder="1" applyAlignment="1" applyProtection="1">
      <alignment horizontal="centerContinuous"/>
      <protection hidden="1"/>
    </xf>
    <xf numFmtId="0" fontId="50" fillId="30" borderId="26" xfId="0" applyFont="1" applyFill="1" applyBorder="1" applyAlignment="1" applyProtection="1">
      <alignment horizontal="center"/>
      <protection hidden="1"/>
    </xf>
    <xf numFmtId="0" fontId="50" fillId="30" borderId="12" xfId="0" quotePrefix="1" applyFont="1" applyFill="1" applyBorder="1" applyAlignment="1" applyProtection="1">
      <alignment horizontal="centerContinuous"/>
      <protection hidden="1"/>
    </xf>
    <xf numFmtId="0" fontId="50" fillId="30" borderId="19" xfId="0" quotePrefix="1" applyFont="1" applyFill="1" applyBorder="1" applyAlignment="1" applyProtection="1">
      <alignment horizontal="centerContinuous"/>
      <protection hidden="1"/>
    </xf>
    <xf numFmtId="0" fontId="50" fillId="30" borderId="24" xfId="0" applyFont="1" applyFill="1" applyBorder="1" applyAlignment="1" applyProtection="1">
      <alignment horizontal="centerContinuous"/>
      <protection hidden="1"/>
    </xf>
    <xf numFmtId="0" fontId="50" fillId="30" borderId="12" xfId="0" quotePrefix="1" applyFont="1" applyFill="1" applyBorder="1" applyAlignment="1" applyProtection="1">
      <alignment horizontal="center"/>
      <protection hidden="1"/>
    </xf>
    <xf numFmtId="0" fontId="50" fillId="30" borderId="26" xfId="0" quotePrefix="1" applyFont="1" applyFill="1" applyBorder="1" applyAlignment="1" applyProtection="1">
      <alignment horizontal="center"/>
      <protection hidden="1"/>
    </xf>
    <xf numFmtId="0" fontId="50" fillId="30" borderId="11" xfId="0" applyFont="1" applyFill="1" applyBorder="1" applyProtection="1">
      <protection hidden="1"/>
    </xf>
    <xf numFmtId="0" fontId="50" fillId="30" borderId="11" xfId="0" applyFont="1" applyFill="1" applyBorder="1" applyAlignment="1" applyProtection="1">
      <alignment horizontal="center"/>
      <protection hidden="1"/>
    </xf>
    <xf numFmtId="0" fontId="50" fillId="30" borderId="10" xfId="0" applyFont="1" applyFill="1" applyBorder="1" applyAlignment="1" applyProtection="1">
      <alignment horizontal="center"/>
      <protection hidden="1"/>
    </xf>
    <xf numFmtId="0" fontId="50" fillId="30" borderId="17" xfId="0" applyFont="1" applyFill="1" applyBorder="1" applyAlignment="1" applyProtection="1">
      <alignment horizontal="centerContinuous"/>
      <protection hidden="1"/>
    </xf>
    <xf numFmtId="0" fontId="50" fillId="30" borderId="22" xfId="0" applyFont="1" applyFill="1" applyBorder="1" applyAlignment="1" applyProtection="1">
      <alignment horizontal="centerContinuous"/>
      <protection hidden="1"/>
    </xf>
    <xf numFmtId="0" fontId="50" fillId="30" borderId="17" xfId="0" quotePrefix="1" applyFont="1" applyFill="1" applyBorder="1" applyAlignment="1" applyProtection="1">
      <alignment horizontal="center"/>
      <protection hidden="1"/>
    </xf>
    <xf numFmtId="0" fontId="50" fillId="30" borderId="11" xfId="0" quotePrefix="1" applyFont="1" applyFill="1" applyBorder="1" applyAlignment="1" applyProtection="1">
      <alignment horizontal="center"/>
      <protection hidden="1"/>
    </xf>
    <xf numFmtId="0" fontId="53" fillId="0" borderId="0" xfId="0" applyFont="1" applyProtection="1">
      <protection hidden="1"/>
    </xf>
    <xf numFmtId="0" fontId="49" fillId="31" borderId="10" xfId="0" applyFont="1" applyFill="1" applyBorder="1" applyProtection="1">
      <protection hidden="1"/>
    </xf>
    <xf numFmtId="16" fontId="49" fillId="31" borderId="10" xfId="0" quotePrefix="1" applyNumberFormat="1" applyFont="1" applyFill="1" applyBorder="1" applyAlignment="1" applyProtection="1">
      <alignment horizontal="right"/>
      <protection hidden="1"/>
    </xf>
    <xf numFmtId="0" fontId="49" fillId="31" borderId="10" xfId="0" applyFont="1" applyFill="1" applyBorder="1" applyAlignment="1" applyProtection="1">
      <alignment horizontal="center"/>
      <protection locked="0" hidden="1"/>
    </xf>
    <xf numFmtId="164" fontId="49" fillId="31" borderId="10" xfId="0" applyNumberFormat="1" applyFont="1" applyFill="1" applyBorder="1" applyAlignment="1" applyProtection="1">
      <alignment horizontal="center"/>
      <protection locked="0" hidden="1"/>
    </xf>
    <xf numFmtId="164" fontId="49" fillId="31" borderId="10" xfId="0" applyNumberFormat="1" applyFont="1" applyFill="1" applyBorder="1" applyAlignment="1" applyProtection="1">
      <alignment horizontal="center"/>
      <protection hidden="1"/>
    </xf>
    <xf numFmtId="164" fontId="49" fillId="31" borderId="25" xfId="0" applyNumberFormat="1" applyFont="1" applyFill="1" applyBorder="1" applyAlignment="1" applyProtection="1">
      <alignment horizontal="center"/>
      <protection hidden="1"/>
    </xf>
    <xf numFmtId="164" fontId="51" fillId="31" borderId="0" xfId="0" applyNumberFormat="1" applyFont="1" applyFill="1"/>
    <xf numFmtId="164" fontId="51" fillId="31" borderId="0" xfId="0" applyNumberFormat="1" applyFont="1" applyFill="1" applyAlignment="1">
      <alignment horizontal="center"/>
    </xf>
    <xf numFmtId="164" fontId="49" fillId="31" borderId="0" xfId="0" applyNumberFormat="1" applyFont="1" applyFill="1" applyProtection="1">
      <protection hidden="1"/>
    </xf>
    <xf numFmtId="0" fontId="49" fillId="31" borderId="0" xfId="0" applyFont="1" applyFill="1" applyProtection="1">
      <protection hidden="1"/>
    </xf>
    <xf numFmtId="0" fontId="49" fillId="31" borderId="0" xfId="0" applyFont="1" applyFill="1" applyAlignment="1" applyProtection="1">
      <alignment horizontal="center"/>
      <protection hidden="1"/>
    </xf>
    <xf numFmtId="0" fontId="51" fillId="31" borderId="0" xfId="0" applyFont="1" applyFill="1"/>
    <xf numFmtId="0" fontId="52" fillId="31" borderId="0" xfId="0" applyFont="1" applyFill="1" applyProtection="1">
      <protection hidden="1"/>
    </xf>
    <xf numFmtId="164" fontId="49" fillId="31" borderId="11" xfId="0" applyNumberFormat="1" applyFont="1" applyFill="1" applyBorder="1" applyAlignment="1" applyProtection="1">
      <alignment horizontal="center"/>
      <protection locked="0" hidden="1"/>
    </xf>
    <xf numFmtId="0" fontId="52" fillId="31" borderId="0" xfId="0" applyFont="1" applyFill="1"/>
    <xf numFmtId="0" fontId="49" fillId="31" borderId="23" xfId="0" applyFont="1" applyFill="1" applyBorder="1" applyAlignment="1" applyProtection="1">
      <alignment horizontal="center"/>
      <protection hidden="1"/>
    </xf>
    <xf numFmtId="0" fontId="16" fillId="0" borderId="0" xfId="0" applyFont="1"/>
    <xf numFmtId="16" fontId="1" fillId="0" borderId="0" xfId="0" quotePrefix="1" applyNumberFormat="1" applyFont="1" applyAlignment="1" applyProtection="1">
      <alignment horizontal="right"/>
      <protection hidden="1"/>
    </xf>
    <xf numFmtId="164" fontId="1" fillId="0" borderId="0" xfId="0" applyNumberFormat="1" applyFont="1" applyAlignment="1" applyProtection="1">
      <alignment horizontal="center"/>
      <protection locked="0" hidden="1"/>
    </xf>
    <xf numFmtId="0" fontId="44" fillId="30" borderId="26" xfId="0" applyFont="1" applyFill="1" applyBorder="1" applyProtection="1">
      <protection hidden="1"/>
    </xf>
    <xf numFmtId="164" fontId="49" fillId="31" borderId="11" xfId="0" applyNumberFormat="1" applyFont="1" applyFill="1" applyBorder="1" applyAlignment="1" applyProtection="1">
      <alignment horizontal="center"/>
      <protection hidden="1"/>
    </xf>
    <xf numFmtId="164" fontId="49" fillId="31" borderId="22" xfId="0" applyNumberFormat="1" applyFont="1" applyFill="1" applyBorder="1" applyAlignment="1" applyProtection="1">
      <alignment horizontal="center"/>
      <protection hidden="1"/>
    </xf>
    <xf numFmtId="0" fontId="0" fillId="29" borderId="0" xfId="0" applyFill="1" applyProtection="1">
      <protection hidden="1"/>
    </xf>
    <xf numFmtId="0" fontId="1" fillId="29" borderId="10" xfId="0" applyFont="1" applyFill="1" applyBorder="1" applyProtection="1">
      <protection hidden="1"/>
    </xf>
    <xf numFmtId="16" fontId="1" fillId="29" borderId="10" xfId="0" quotePrefix="1" applyNumberFormat="1" applyFont="1" applyFill="1" applyBorder="1" applyAlignment="1" applyProtection="1">
      <alignment horizontal="right"/>
      <protection hidden="1"/>
    </xf>
    <xf numFmtId="0" fontId="1" fillId="29" borderId="10" xfId="0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locked="0" hidden="1"/>
    </xf>
    <xf numFmtId="164" fontId="1" fillId="29" borderId="10" xfId="0" applyNumberFormat="1" applyFont="1" applyFill="1" applyBorder="1" applyAlignment="1" applyProtection="1">
      <alignment horizontal="center"/>
      <protection hidden="1"/>
    </xf>
    <xf numFmtId="164" fontId="1" fillId="29" borderId="11" xfId="0" applyNumberFormat="1" applyFont="1" applyFill="1" applyBorder="1" applyAlignment="1" applyProtection="1">
      <alignment horizontal="center"/>
      <protection hidden="1"/>
    </xf>
    <xf numFmtId="0" fontId="1" fillId="29" borderId="23" xfId="0" applyFont="1" applyFill="1" applyBorder="1" applyAlignment="1" applyProtection="1">
      <alignment horizontal="center"/>
      <protection hidden="1"/>
    </xf>
    <xf numFmtId="164" fontId="1" fillId="29" borderId="25" xfId="0" applyNumberFormat="1" applyFont="1" applyFill="1" applyBorder="1" applyAlignment="1" applyProtection="1">
      <alignment horizontal="center"/>
      <protection hidden="1"/>
    </xf>
    <xf numFmtId="164" fontId="20" fillId="29" borderId="0" xfId="0" applyNumberFormat="1" applyFont="1" applyFill="1"/>
    <xf numFmtId="164" fontId="20" fillId="29" borderId="0" xfId="0" applyNumberFormat="1" applyFont="1" applyFill="1" applyAlignment="1">
      <alignment horizontal="center"/>
    </xf>
    <xf numFmtId="164" fontId="1" fillId="29" borderId="0" xfId="0" applyNumberFormat="1" applyFont="1" applyFill="1" applyProtection="1">
      <protection hidden="1"/>
    </xf>
    <xf numFmtId="0" fontId="1" fillId="29" borderId="0" xfId="0" applyFont="1" applyFill="1" applyProtection="1">
      <protection hidden="1"/>
    </xf>
    <xf numFmtId="0" fontId="1" fillId="29" borderId="0" xfId="0" applyFont="1" applyFill="1" applyAlignment="1" applyProtection="1">
      <alignment horizontal="center"/>
      <protection hidden="1"/>
    </xf>
    <xf numFmtId="0" fontId="20" fillId="29" borderId="0" xfId="0" applyFont="1" applyFill="1"/>
    <xf numFmtId="0" fontId="0" fillId="29" borderId="0" xfId="0" applyFill="1"/>
    <xf numFmtId="164" fontId="1" fillId="29" borderId="11" xfId="0" applyNumberFormat="1" applyFont="1" applyFill="1" applyBorder="1" applyAlignment="1" applyProtection="1">
      <alignment horizontal="center"/>
      <protection locked="0" hidden="1"/>
    </xf>
    <xf numFmtId="164" fontId="1" fillId="29" borderId="22" xfId="0" applyNumberFormat="1" applyFont="1" applyFill="1" applyBorder="1" applyAlignment="1" applyProtection="1">
      <alignment horizontal="center"/>
      <protection hidden="1"/>
    </xf>
    <xf numFmtId="16" fontId="49" fillId="31" borderId="11" xfId="0" quotePrefix="1" applyNumberFormat="1" applyFont="1" applyFill="1" applyBorder="1" applyAlignment="1" applyProtection="1">
      <alignment horizontal="right"/>
      <protection hidden="1"/>
    </xf>
    <xf numFmtId="0" fontId="49" fillId="31" borderId="11" xfId="0" applyFont="1" applyFill="1" applyBorder="1" applyAlignment="1" applyProtection="1">
      <alignment horizontal="center"/>
      <protection locked="0" hidden="1"/>
    </xf>
    <xf numFmtId="0" fontId="49" fillId="31" borderId="17" xfId="0" applyFont="1" applyFill="1" applyBorder="1" applyAlignment="1" applyProtection="1">
      <alignment horizontal="center"/>
      <protection hidden="1"/>
    </xf>
    <xf numFmtId="0" fontId="49" fillId="31" borderId="0" xfId="0" applyFont="1" applyFill="1" applyAlignment="1" applyProtection="1">
      <alignment horizontal="center"/>
      <protection locked="0" hidden="1"/>
    </xf>
    <xf numFmtId="0" fontId="16" fillId="29" borderId="0" xfId="0" applyFont="1" applyFill="1" applyProtection="1">
      <protection hidden="1"/>
    </xf>
    <xf numFmtId="0" fontId="16" fillId="29" borderId="0" xfId="0" applyFont="1" applyFill="1"/>
    <xf numFmtId="0" fontId="50" fillId="30" borderId="17" xfId="0" applyFont="1" applyFill="1" applyBorder="1" applyAlignment="1" applyProtection="1">
      <alignment horizontal="center"/>
      <protection hidden="1"/>
    </xf>
    <xf numFmtId="0" fontId="50" fillId="30" borderId="22" xfId="0" applyFont="1" applyFill="1" applyBorder="1" applyProtection="1">
      <protection hidden="1"/>
    </xf>
    <xf numFmtId="0" fontId="1" fillId="29" borderId="23" xfId="0" applyFont="1" applyFill="1" applyBorder="1" applyAlignment="1" applyProtection="1">
      <alignment horizontal="right"/>
      <protection hidden="1"/>
    </xf>
    <xf numFmtId="0" fontId="49" fillId="31" borderId="23" xfId="0" applyFont="1" applyFill="1" applyBorder="1" applyAlignment="1" applyProtection="1">
      <alignment horizontal="right"/>
      <protection hidden="1"/>
    </xf>
    <xf numFmtId="164" fontId="1" fillId="0" borderId="10" xfId="0" applyNumberFormat="1" applyFont="1" applyBorder="1" applyAlignment="1" applyProtection="1">
      <alignment horizontal="left"/>
      <protection hidden="1"/>
    </xf>
    <xf numFmtId="20" fontId="49" fillId="31" borderId="10" xfId="0" applyNumberFormat="1" applyFont="1" applyFill="1" applyBorder="1" applyAlignment="1" applyProtection="1">
      <alignment horizontal="center"/>
      <protection locked="0" hidden="1"/>
    </xf>
    <xf numFmtId="0" fontId="1" fillId="0" borderId="11" xfId="0" applyFont="1" applyBorder="1" applyAlignment="1" applyProtection="1">
      <alignment horizontal="center"/>
      <protection locked="0" hidden="1"/>
    </xf>
    <xf numFmtId="16" fontId="1" fillId="0" borderId="11" xfId="0" quotePrefix="1" applyNumberFormat="1" applyFont="1" applyBorder="1" applyAlignment="1" applyProtection="1">
      <alignment horizontal="right"/>
      <protection hidden="1"/>
    </xf>
    <xf numFmtId="164" fontId="1" fillId="29" borderId="10" xfId="0" applyNumberFormat="1" applyFont="1" applyFill="1" applyBorder="1" applyAlignment="1" applyProtection="1">
      <alignment horizontal="left"/>
      <protection hidden="1"/>
    </xf>
    <xf numFmtId="164" fontId="1" fillId="0" borderId="10" xfId="0" applyNumberFormat="1" applyFont="1" applyBorder="1" applyProtection="1">
      <protection locked="0" hidden="1"/>
    </xf>
    <xf numFmtId="0" fontId="1" fillId="0" borderId="17" xfId="0" applyFont="1" applyBorder="1" applyAlignment="1" applyProtection="1">
      <alignment horizontal="center"/>
      <protection hidden="1"/>
    </xf>
    <xf numFmtId="164" fontId="1" fillId="0" borderId="11" xfId="0" applyNumberFormat="1" applyFont="1" applyBorder="1" applyProtection="1">
      <protection locked="0" hidden="1"/>
    </xf>
    <xf numFmtId="0" fontId="0" fillId="32" borderId="0" xfId="0" applyFill="1" applyProtection="1">
      <protection hidden="1"/>
    </xf>
    <xf numFmtId="0" fontId="1" fillId="32" borderId="10" xfId="0" applyFont="1" applyFill="1" applyBorder="1" applyProtection="1">
      <protection hidden="1"/>
    </xf>
    <xf numFmtId="16" fontId="1" fillId="32" borderId="10" xfId="0" quotePrefix="1" applyNumberFormat="1" applyFont="1" applyFill="1" applyBorder="1" applyAlignment="1" applyProtection="1">
      <alignment horizontal="right"/>
      <protection hidden="1"/>
    </xf>
    <xf numFmtId="0" fontId="1" fillId="32" borderId="10" xfId="0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locked="0" hidden="1"/>
    </xf>
    <xf numFmtId="164" fontId="1" fillId="32" borderId="10" xfId="0" applyNumberFormat="1" applyFont="1" applyFill="1" applyBorder="1" applyAlignment="1" applyProtection="1">
      <alignment horizontal="center"/>
      <protection hidden="1"/>
    </xf>
    <xf numFmtId="0" fontId="1" fillId="32" borderId="23" xfId="0" applyFont="1" applyFill="1" applyBorder="1" applyAlignment="1" applyProtection="1">
      <alignment horizontal="right"/>
      <protection hidden="1"/>
    </xf>
    <xf numFmtId="164" fontId="1" fillId="32" borderId="25" xfId="0" applyNumberFormat="1" applyFont="1" applyFill="1" applyBorder="1" applyAlignment="1" applyProtection="1">
      <alignment horizontal="center"/>
      <protection hidden="1"/>
    </xf>
    <xf numFmtId="164" fontId="20" fillId="32" borderId="0" xfId="0" applyNumberFormat="1" applyFont="1" applyFill="1"/>
    <xf numFmtId="164" fontId="20" fillId="32" borderId="0" xfId="0" applyNumberFormat="1" applyFont="1" applyFill="1" applyAlignment="1">
      <alignment horizontal="center"/>
    </xf>
    <xf numFmtId="164" fontId="1" fillId="32" borderId="0" xfId="0" applyNumberFormat="1" applyFont="1" applyFill="1" applyProtection="1">
      <protection hidden="1"/>
    </xf>
    <xf numFmtId="0" fontId="1" fillId="32" borderId="0" xfId="0" applyFont="1" applyFill="1" applyProtection="1">
      <protection hidden="1"/>
    </xf>
    <xf numFmtId="0" fontId="1" fillId="32" borderId="0" xfId="0" applyFont="1" applyFill="1" applyAlignment="1" applyProtection="1">
      <alignment horizontal="center"/>
      <protection hidden="1"/>
    </xf>
    <xf numFmtId="0" fontId="20" fillId="32" borderId="0" xfId="0" applyFont="1" applyFill="1"/>
    <xf numFmtId="0" fontId="0" fillId="32" borderId="0" xfId="0" applyFill="1"/>
    <xf numFmtId="0" fontId="16" fillId="32" borderId="0" xfId="0" applyFont="1" applyFill="1" applyProtection="1">
      <protection hidden="1"/>
    </xf>
    <xf numFmtId="164" fontId="1" fillId="32" borderId="11" xfId="0" applyNumberFormat="1" applyFont="1" applyFill="1" applyBorder="1" applyAlignment="1" applyProtection="1">
      <alignment horizontal="center"/>
      <protection hidden="1"/>
    </xf>
    <xf numFmtId="0" fontId="1" fillId="32" borderId="23" xfId="0" applyFont="1" applyFill="1" applyBorder="1" applyAlignment="1" applyProtection="1">
      <alignment horizontal="center"/>
      <protection hidden="1"/>
    </xf>
    <xf numFmtId="0" fontId="16" fillId="32" borderId="0" xfId="0" applyFont="1" applyFill="1"/>
    <xf numFmtId="0" fontId="49" fillId="0" borderId="0" xfId="0" applyFont="1" applyProtection="1">
      <protection locked="0" hidden="1"/>
    </xf>
    <xf numFmtId="0" fontId="52" fillId="0" borderId="0" xfId="0" applyFont="1" applyProtection="1">
      <protection locked="0"/>
    </xf>
    <xf numFmtId="0" fontId="1" fillId="25" borderId="12" xfId="0" applyFont="1" applyFill="1" applyBorder="1" applyAlignment="1" applyProtection="1">
      <alignment horizontal="center"/>
      <protection locked="0" hidden="1"/>
    </xf>
    <xf numFmtId="0" fontId="1" fillId="25" borderId="19" xfId="0" applyFont="1" applyFill="1" applyBorder="1" applyAlignment="1" applyProtection="1">
      <alignment horizontal="center"/>
      <protection locked="0" hidden="1"/>
    </xf>
    <xf numFmtId="1" fontId="1" fillId="25" borderId="14" xfId="0" applyNumberFormat="1" applyFont="1" applyFill="1" applyBorder="1" applyAlignment="1" applyProtection="1">
      <alignment horizontal="center"/>
      <protection locked="0" hidden="1"/>
    </xf>
    <xf numFmtId="1" fontId="1" fillId="25" borderId="20" xfId="0" applyNumberFormat="1" applyFont="1" applyFill="1" applyBorder="1" applyAlignment="1" applyProtection="1">
      <alignment horizontal="center"/>
      <protection locked="0" hidden="1"/>
    </xf>
    <xf numFmtId="0" fontId="1" fillId="29" borderId="11" xfId="0" applyFont="1" applyFill="1" applyBorder="1" applyAlignment="1" applyProtection="1">
      <alignment horizontal="center"/>
      <protection locked="0" hidden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Style="combo" dx="22" fmlaLink="Jan!$AH$49" fmlaRange="Jan!$AH$47:$AH$48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331470</xdr:colOff>
      <xdr:row>0</xdr:row>
      <xdr:rowOff>152400</xdr:rowOff>
    </xdr:from>
    <xdr:to>
      <xdr:col>6</xdr:col>
      <xdr:colOff>228644</xdr:colOff>
      <xdr:row>4</xdr:row>
      <xdr:rowOff>95250</xdr:rowOff>
    </xdr:to>
    <xdr:pic>
      <xdr:nvPicPr>
        <xdr:cNvPr id="1035" name="Figuur 5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945" y="152400"/>
          <a:ext cx="1459274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50</xdr:row>
          <xdr:rowOff>152400</xdr:rowOff>
        </xdr:from>
        <xdr:to>
          <xdr:col>15</xdr:col>
          <xdr:colOff>104775</xdr:colOff>
          <xdr:row>52</xdr:row>
          <xdr:rowOff>28575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211725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85039</xdr:rowOff>
    </xdr:from>
    <xdr:to>
      <xdr:col>5</xdr:col>
      <xdr:colOff>241785</xdr:colOff>
      <xdr:row>3</xdr:row>
      <xdr:rowOff>21130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5039"/>
          <a:ext cx="1044000" cy="4218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196850</xdr:colOff>
      <xdr:row>0</xdr:row>
      <xdr:rowOff>89962</xdr:rowOff>
    </xdr:from>
    <xdr:to>
      <xdr:col>5</xdr:col>
      <xdr:colOff>250976</xdr:colOff>
      <xdr:row>3</xdr:row>
      <xdr:rowOff>20858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850" y="89962"/>
          <a:ext cx="1046314" cy="4071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197910</xdr:colOff>
      <xdr:row>0</xdr:row>
      <xdr:rowOff>84672</xdr:rowOff>
    </xdr:from>
    <xdr:to>
      <xdr:col>5</xdr:col>
      <xdr:colOff>220618</xdr:colOff>
      <xdr:row>3</xdr:row>
      <xdr:rowOff>19736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910" y="84672"/>
          <a:ext cx="1041883" cy="420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221250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230775</xdr:colOff>
      <xdr:row>3</xdr:row>
      <xdr:rowOff>20987</xdr:rowOff>
    </xdr:to>
    <xdr:pic>
      <xdr:nvPicPr>
        <xdr:cNvPr id="2" name="Figuur 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85725</xdr:rowOff>
    </xdr:from>
    <xdr:to>
      <xdr:col>5</xdr:col>
      <xdr:colOff>240300</xdr:colOff>
      <xdr:row>3</xdr:row>
      <xdr:rowOff>20987</xdr:rowOff>
    </xdr:to>
    <xdr:pic>
      <xdr:nvPicPr>
        <xdr:cNvPr id="3" name="Figuur 5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85725"/>
          <a:ext cx="1040400" cy="42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alfresco.ssgpi.be/alfresco/service/ssgpi/content/workspace%3A%2F%2FSpacesStore%2F5da0c6b7-3bed-4dc7-813b-8c94bd26f930?guest=true" TargetMode="External"/><Relationship Id="rId1" Type="http://schemas.openxmlformats.org/officeDocument/2006/relationships/hyperlink" Target="https://alfresco.ssgpi.be/alfresco/service/ssgpi/content/workspace%3A%2F%2FSpacesStore%2Fb2121614-35bb-4813-b44c-ef97e1adeb30?guest=true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CF71"/>
  <sheetViews>
    <sheetView showGridLines="0" showRowColHeaders="0" topLeftCell="O1" zoomScale="120" zoomScaleNormal="120" workbookViewId="0">
      <selection activeCell="AR76" sqref="AR76"/>
    </sheetView>
  </sheetViews>
  <sheetFormatPr defaultRowHeight="12.75" x14ac:dyDescent="0.2"/>
  <cols>
    <col min="1" max="1" width="10.28515625" style="2" hidden="1" customWidth="1"/>
    <col min="2" max="2" width="5.28515625" style="2" hidden="1" customWidth="1"/>
    <col min="3" max="3" width="3.28515625" style="2" hidden="1" customWidth="1"/>
    <col min="4" max="4" width="6.140625" style="2" hidden="1" customWidth="1"/>
    <col min="5" max="5" width="13.7109375" style="2" hidden="1" customWidth="1"/>
    <col min="6" max="6" width="15.5703125" style="2" hidden="1" customWidth="1"/>
    <col min="7" max="7" width="8.7109375" style="2" hidden="1" customWidth="1"/>
    <col min="8" max="8" width="11.7109375" style="2" hidden="1" customWidth="1"/>
    <col min="9" max="9" width="6.85546875" style="2" hidden="1" customWidth="1"/>
    <col min="10" max="10" width="10.42578125" style="2" hidden="1" customWidth="1"/>
    <col min="11" max="11" width="8.5703125" style="2" hidden="1" customWidth="1"/>
    <col min="12" max="12" width="11.42578125" style="2" hidden="1" customWidth="1"/>
    <col min="13" max="13" width="9.42578125" style="2" hidden="1" customWidth="1"/>
    <col min="14" max="14" width="3" style="2" hidden="1" customWidth="1"/>
    <col min="15" max="15" width="2.42578125" style="2" customWidth="1"/>
    <col min="16" max="16" width="5.7109375" style="2" customWidth="1"/>
    <col min="17" max="17" width="3.42578125" style="2" customWidth="1"/>
    <col min="18" max="18" width="8.5703125" style="2" customWidth="1"/>
    <col min="19" max="19" width="5.7109375" style="2" customWidth="1"/>
    <col min="20" max="20" width="3.28515625" style="2" customWidth="1"/>
    <col min="21" max="21" width="8.85546875" style="2" customWidth="1"/>
    <col min="22" max="22" width="5.7109375" style="2" customWidth="1"/>
    <col min="23" max="23" width="3.5703125" style="2" customWidth="1"/>
    <col min="24" max="24" width="8.5703125" style="2" customWidth="1"/>
    <col min="25" max="25" width="5.5703125" style="2" customWidth="1"/>
    <col min="26" max="26" width="3.140625" style="2" customWidth="1"/>
    <col min="27" max="27" width="8" style="2" customWidth="1"/>
    <col min="28" max="29" width="4.140625" style="2" customWidth="1"/>
    <col min="30" max="30" width="8.42578125" style="2" customWidth="1"/>
    <col min="31" max="31" width="4.28515625" style="2" customWidth="1"/>
    <col min="32" max="32" width="3.85546875" style="2" customWidth="1"/>
    <col min="33" max="33" width="8.28515625" style="2" customWidth="1"/>
    <col min="34" max="34" width="4.140625" style="2" customWidth="1"/>
    <col min="35" max="35" width="3.42578125" style="2" customWidth="1"/>
    <col min="36" max="36" width="8" style="2" customWidth="1"/>
    <col min="37" max="37" width="3.85546875" style="2" customWidth="1"/>
    <col min="38" max="38" width="3.140625" style="2" customWidth="1"/>
    <col min="39" max="39" width="7.85546875" style="2" customWidth="1"/>
    <col min="40" max="40" width="3.7109375" style="2" customWidth="1"/>
    <col min="41" max="41" width="3.5703125" style="2" customWidth="1"/>
    <col min="42" max="42" width="8.5703125" style="2" customWidth="1"/>
    <col min="43" max="43" width="5.42578125" style="2" customWidth="1"/>
    <col min="44" max="44" width="3.5703125" style="2" customWidth="1"/>
    <col min="45" max="45" width="8.42578125" style="2" customWidth="1"/>
    <col min="46" max="46" width="3.7109375" style="2" customWidth="1"/>
    <col min="47" max="47" width="3.140625" style="2" customWidth="1"/>
    <col min="48" max="48" width="8.42578125" style="2" customWidth="1"/>
    <col min="49" max="49" width="5.140625" style="2" customWidth="1"/>
    <col min="50" max="50" width="4.28515625" style="2" customWidth="1"/>
    <col min="51" max="51" width="8.140625" style="2" customWidth="1"/>
    <col min="52" max="52" width="4.28515625" style="2" customWidth="1"/>
    <col min="53" max="53" width="4.140625" style="2" customWidth="1"/>
    <col min="54" max="54" width="8.140625" style="2" customWidth="1"/>
    <col min="55" max="55" width="7.140625" style="2" customWidth="1"/>
    <col min="56" max="56" width="4.28515625" style="2" customWidth="1"/>
    <col min="57" max="57" width="8.42578125" style="2" customWidth="1"/>
    <col min="58" max="58" width="5.42578125" style="2" customWidth="1"/>
    <col min="59" max="59" width="3" style="2" customWidth="1"/>
    <col min="60" max="60" width="8.42578125" style="2" customWidth="1"/>
    <col min="61" max="61" width="7.140625" style="2" customWidth="1"/>
    <col min="62" max="62" width="5.28515625" style="2" customWidth="1"/>
    <col min="63" max="63" width="8.42578125" style="2" customWidth="1"/>
    <col min="64" max="64" width="5.85546875" style="2" bestFit="1" customWidth="1"/>
    <col min="65" max="65" width="3.42578125" style="2" customWidth="1"/>
    <col min="66" max="66" width="7.7109375" style="2" customWidth="1"/>
    <col min="67" max="67" width="5.85546875" style="2" customWidth="1"/>
    <col min="68" max="68" width="4.28515625" style="5" customWidth="1"/>
    <col min="69" max="69" width="8" style="2" customWidth="1"/>
    <col min="70" max="70" width="5.85546875" style="2" bestFit="1" customWidth="1"/>
    <col min="71" max="71" width="3.140625" style="2" customWidth="1"/>
    <col min="72" max="72" width="9.140625" style="2" customWidth="1"/>
    <col min="73" max="73" width="5.85546875" style="2" bestFit="1" customWidth="1"/>
    <col min="74" max="74" width="4.140625" style="2" customWidth="1"/>
    <col min="75" max="75" width="9.28515625" style="2" customWidth="1"/>
    <col min="76" max="76" width="5.5703125" style="2" customWidth="1"/>
    <col min="77" max="77" width="3.5703125" style="2" customWidth="1"/>
    <col min="78" max="78" width="8.5703125" style="2" customWidth="1"/>
    <col min="79" max="79" width="7.140625" style="2" customWidth="1"/>
    <col min="80" max="80" width="3.85546875" style="2" customWidth="1"/>
    <col min="81" max="81" width="7.42578125" style="2" customWidth="1"/>
    <col min="82" max="82" width="7.140625" style="2" customWidth="1"/>
  </cols>
  <sheetData>
    <row r="1" spans="2:84" x14ac:dyDescent="0.2"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CE1" s="2"/>
      <c r="CF1" s="2"/>
    </row>
    <row r="2" spans="2:84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P2" s="279"/>
      <c r="Q2" s="280"/>
      <c r="R2" s="280"/>
      <c r="S2" s="279"/>
      <c r="T2" s="280"/>
      <c r="U2" s="281"/>
      <c r="V2" s="280"/>
      <c r="W2" s="280"/>
      <c r="X2" s="281"/>
      <c r="Y2" s="280"/>
      <c r="Z2" s="280"/>
      <c r="AA2" s="281"/>
      <c r="AB2" s="282"/>
      <c r="AC2" s="277"/>
      <c r="AD2" s="283"/>
      <c r="AE2" s="282"/>
      <c r="AF2" s="277"/>
      <c r="AG2" s="283"/>
      <c r="AH2" s="282"/>
      <c r="AI2" s="277"/>
      <c r="AJ2" s="283"/>
      <c r="AK2" s="282"/>
      <c r="AL2" s="277"/>
      <c r="AM2" s="283"/>
      <c r="AN2" s="282"/>
      <c r="AO2" s="277"/>
      <c r="AP2" s="283"/>
      <c r="AQ2" s="277"/>
      <c r="AR2" s="277"/>
      <c r="AS2" s="277"/>
      <c r="AT2" s="282"/>
      <c r="AU2" s="277"/>
      <c r="AV2" s="283"/>
      <c r="AW2" s="277"/>
      <c r="AX2" s="277"/>
      <c r="AY2" s="277"/>
      <c r="AZ2" s="282"/>
      <c r="BA2" s="277"/>
      <c r="BB2" s="283"/>
      <c r="BC2" s="277"/>
      <c r="BD2" s="277"/>
      <c r="BE2" s="277"/>
      <c r="BF2" s="282"/>
      <c r="BG2" s="277"/>
      <c r="BH2" s="283"/>
      <c r="BI2" s="277"/>
      <c r="BJ2" s="277"/>
      <c r="BK2" s="277"/>
      <c r="BL2" s="277"/>
      <c r="BM2" s="277"/>
      <c r="BN2" s="277"/>
      <c r="BO2" s="277"/>
      <c r="BP2" s="277"/>
      <c r="BQ2" s="277"/>
      <c r="BR2" s="282"/>
      <c r="BS2" s="277"/>
      <c r="BT2" s="283"/>
      <c r="BU2" s="282"/>
      <c r="BV2" s="277"/>
      <c r="BW2" s="283"/>
      <c r="BX2" s="282"/>
      <c r="BY2" s="277"/>
      <c r="BZ2" s="283"/>
      <c r="CD2"/>
    </row>
    <row r="3" spans="2:84" x14ac:dyDescent="0.2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P3" s="284"/>
      <c r="Q3" s="278" t="s">
        <v>0</v>
      </c>
      <c r="R3" s="278"/>
      <c r="S3" s="284"/>
      <c r="T3" s="278" t="s">
        <v>1</v>
      </c>
      <c r="U3" s="285"/>
      <c r="V3" s="278"/>
      <c r="W3" s="278" t="s">
        <v>2</v>
      </c>
      <c r="X3" s="285"/>
      <c r="Y3" s="278"/>
      <c r="Z3" s="278" t="s">
        <v>3</v>
      </c>
      <c r="AA3" s="285"/>
      <c r="AB3" s="284"/>
      <c r="AC3" s="278" t="s">
        <v>4</v>
      </c>
      <c r="AD3" s="285"/>
      <c r="AE3" s="284"/>
      <c r="AF3" s="278" t="s">
        <v>5</v>
      </c>
      <c r="AG3" s="285"/>
      <c r="AH3" s="284"/>
      <c r="AI3" s="278" t="s">
        <v>6</v>
      </c>
      <c r="AJ3" s="285"/>
      <c r="AK3" s="284"/>
      <c r="AL3" s="278" t="s">
        <v>7</v>
      </c>
      <c r="AM3" s="285"/>
      <c r="AN3" s="284"/>
      <c r="AO3" s="278" t="s">
        <v>8</v>
      </c>
      <c r="AP3" s="285"/>
      <c r="AQ3" s="278"/>
      <c r="AR3" s="278" t="s">
        <v>9</v>
      </c>
      <c r="AS3" s="278"/>
      <c r="AT3" s="284"/>
      <c r="AU3" s="278" t="s">
        <v>10</v>
      </c>
      <c r="AV3" s="285"/>
      <c r="AW3" s="278"/>
      <c r="AX3" s="278" t="s">
        <v>11</v>
      </c>
      <c r="AY3" s="278"/>
      <c r="AZ3" s="284"/>
      <c r="BA3" s="278" t="s">
        <v>12</v>
      </c>
      <c r="BB3" s="285"/>
      <c r="BC3" s="278"/>
      <c r="BD3" s="278" t="s">
        <v>13</v>
      </c>
      <c r="BE3" s="278"/>
      <c r="BF3" s="284"/>
      <c r="BG3" s="278" t="s">
        <v>14</v>
      </c>
      <c r="BH3" s="285"/>
      <c r="BI3" s="278"/>
      <c r="BJ3" s="278" t="s">
        <v>15</v>
      </c>
      <c r="BK3" s="278"/>
      <c r="BL3" s="278"/>
      <c r="BM3" s="278" t="s">
        <v>16</v>
      </c>
      <c r="BN3" s="278"/>
      <c r="BO3" s="278"/>
      <c r="BP3" s="278" t="s">
        <v>17</v>
      </c>
      <c r="BQ3" s="278"/>
      <c r="BR3" s="284"/>
      <c r="BS3" s="278" t="s">
        <v>18</v>
      </c>
      <c r="BT3" s="285"/>
      <c r="BU3" s="284"/>
      <c r="BV3" s="278" t="s">
        <v>19</v>
      </c>
      <c r="BW3" s="285"/>
      <c r="BX3" s="284"/>
      <c r="BY3" s="278" t="s">
        <v>20</v>
      </c>
      <c r="BZ3" s="285"/>
      <c r="CD3"/>
    </row>
    <row r="4" spans="2:84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P4" s="32"/>
      <c r="S4" s="32"/>
      <c r="U4" s="33"/>
      <c r="X4" s="33"/>
      <c r="AA4" s="33"/>
      <c r="AB4" s="32"/>
      <c r="AD4" s="33"/>
      <c r="AE4" s="32"/>
      <c r="AG4" s="33"/>
      <c r="AH4" s="32"/>
      <c r="AJ4" s="33"/>
      <c r="AK4" s="32"/>
      <c r="AM4" s="33"/>
      <c r="AN4" s="32"/>
      <c r="AP4" s="33"/>
      <c r="AT4" s="32"/>
      <c r="AV4" s="33"/>
      <c r="AZ4" s="32"/>
      <c r="BB4" s="33"/>
      <c r="BF4" s="32"/>
      <c r="BH4" s="33"/>
      <c r="BL4" s="32"/>
      <c r="BN4" s="33"/>
      <c r="BR4" s="32"/>
      <c r="BT4" s="33"/>
      <c r="BU4" s="32"/>
      <c r="BW4" s="33"/>
      <c r="BX4" s="32"/>
      <c r="BZ4" s="33"/>
      <c r="CD4"/>
    </row>
    <row r="5" spans="2:84" x14ac:dyDescent="0.2">
      <c r="B5" s="1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P5" s="15" t="s">
        <v>0</v>
      </c>
      <c r="Q5" s="4">
        <v>0</v>
      </c>
      <c r="R5" s="124">
        <v>15253.88</v>
      </c>
      <c r="S5" s="15" t="s">
        <v>1</v>
      </c>
      <c r="T5" s="4">
        <v>0</v>
      </c>
      <c r="U5" s="125">
        <v>15873.62</v>
      </c>
      <c r="V5" s="4" t="s">
        <v>2</v>
      </c>
      <c r="W5" s="4">
        <v>0</v>
      </c>
      <c r="X5" s="125">
        <v>16673.349999999999</v>
      </c>
      <c r="Y5" s="4" t="s">
        <v>3</v>
      </c>
      <c r="Z5" s="4">
        <v>0</v>
      </c>
      <c r="AA5" s="125">
        <v>16698.14</v>
      </c>
      <c r="AB5" s="15" t="s">
        <v>4</v>
      </c>
      <c r="AC5" s="4">
        <v>0</v>
      </c>
      <c r="AD5" s="125">
        <v>17292.13</v>
      </c>
      <c r="AE5" s="15" t="s">
        <v>5</v>
      </c>
      <c r="AF5" s="4">
        <v>0</v>
      </c>
      <c r="AG5" s="125">
        <v>17311.400000000001</v>
      </c>
      <c r="AH5" s="15" t="s">
        <v>6</v>
      </c>
      <c r="AI5" s="4">
        <v>0</v>
      </c>
      <c r="AJ5" s="125">
        <v>21666</v>
      </c>
      <c r="AK5" s="15" t="s">
        <v>7</v>
      </c>
      <c r="AL5" s="4">
        <v>0</v>
      </c>
      <c r="AM5" s="125">
        <v>23366</v>
      </c>
      <c r="AN5" s="15" t="s">
        <v>8</v>
      </c>
      <c r="AO5" s="4">
        <v>0</v>
      </c>
      <c r="AP5" s="125">
        <v>18532.55</v>
      </c>
      <c r="AQ5" s="4" t="s">
        <v>9</v>
      </c>
      <c r="AR5" s="1">
        <v>0</v>
      </c>
      <c r="AS5" s="125">
        <v>19914.28</v>
      </c>
      <c r="AT5" s="15" t="s">
        <v>10</v>
      </c>
      <c r="AU5" s="4">
        <v>0</v>
      </c>
      <c r="AV5" s="125">
        <v>20087.810000000001</v>
      </c>
      <c r="AW5" s="4" t="s">
        <v>11</v>
      </c>
      <c r="AX5" s="1">
        <v>0</v>
      </c>
      <c r="AY5" s="125">
        <v>21805.71</v>
      </c>
      <c r="AZ5" s="15" t="s">
        <v>12</v>
      </c>
      <c r="BA5" s="4">
        <v>0</v>
      </c>
      <c r="BB5" s="125">
        <v>20335.7</v>
      </c>
      <c r="BC5" s="4" t="s">
        <v>13</v>
      </c>
      <c r="BD5" s="1">
        <v>0</v>
      </c>
      <c r="BE5" s="125">
        <v>22075.91</v>
      </c>
      <c r="BF5" s="15" t="s">
        <v>14</v>
      </c>
      <c r="BG5" s="4">
        <v>0</v>
      </c>
      <c r="BH5" s="125">
        <v>20583.59</v>
      </c>
      <c r="BI5" s="4" t="s">
        <v>15</v>
      </c>
      <c r="BJ5" s="1">
        <v>0</v>
      </c>
      <c r="BK5" s="125">
        <v>22346.12</v>
      </c>
      <c r="BL5" s="15" t="s">
        <v>16</v>
      </c>
      <c r="BM5" s="4">
        <v>0</v>
      </c>
      <c r="BN5" s="125">
        <v>27296</v>
      </c>
      <c r="BO5" s="4" t="s">
        <v>17</v>
      </c>
      <c r="BP5" s="1">
        <v>0</v>
      </c>
      <c r="BQ5" s="124">
        <v>23346.12</v>
      </c>
      <c r="BR5" s="15" t="s">
        <v>18</v>
      </c>
      <c r="BS5" s="4">
        <v>0</v>
      </c>
      <c r="BT5" s="125">
        <v>20327.27</v>
      </c>
      <c r="BU5" s="15" t="s">
        <v>19</v>
      </c>
      <c r="BV5" s="4">
        <v>0</v>
      </c>
      <c r="BW5" s="125">
        <v>23054.1</v>
      </c>
      <c r="BX5" s="15" t="s">
        <v>20</v>
      </c>
      <c r="BY5" s="4">
        <v>0</v>
      </c>
      <c r="BZ5" s="125">
        <v>23797.78</v>
      </c>
      <c r="CD5"/>
    </row>
    <row r="6" spans="2:84" x14ac:dyDescent="0.2">
      <c r="B6" s="1"/>
      <c r="C6" s="107"/>
      <c r="D6" s="1"/>
      <c r="E6" s="107"/>
      <c r="F6" s="1"/>
      <c r="G6" s="107"/>
      <c r="H6" s="1"/>
      <c r="I6" s="107"/>
      <c r="J6" s="1"/>
      <c r="K6" s="107"/>
      <c r="L6" s="1"/>
      <c r="M6" s="107"/>
      <c r="N6" s="1"/>
      <c r="P6" s="15" t="s">
        <v>0</v>
      </c>
      <c r="Q6" s="4">
        <v>1</v>
      </c>
      <c r="R6" s="124">
        <v>15501.78</v>
      </c>
      <c r="S6" s="15" t="s">
        <v>1</v>
      </c>
      <c r="T6" s="4">
        <v>1</v>
      </c>
      <c r="U6" s="125">
        <v>16326.31</v>
      </c>
      <c r="V6" s="4" t="s">
        <v>2</v>
      </c>
      <c r="W6" s="4">
        <v>1</v>
      </c>
      <c r="X6" s="125">
        <v>17020.41</v>
      </c>
      <c r="Y6" s="4" t="s">
        <v>3</v>
      </c>
      <c r="Z6" s="4">
        <v>1</v>
      </c>
      <c r="AA6" s="125">
        <v>17045.2</v>
      </c>
      <c r="AB6" s="15" t="s">
        <v>4</v>
      </c>
      <c r="AC6" s="4">
        <v>1</v>
      </c>
      <c r="AD6" s="125">
        <v>17646.060000000001</v>
      </c>
      <c r="AE6" s="15" t="s">
        <v>5</v>
      </c>
      <c r="AF6" s="4">
        <v>1</v>
      </c>
      <c r="AG6" s="125">
        <v>17732.82</v>
      </c>
      <c r="AH6" s="15" t="s">
        <v>6</v>
      </c>
      <c r="AI6" s="4">
        <v>1</v>
      </c>
      <c r="AJ6" s="125">
        <v>21866</v>
      </c>
      <c r="AK6" s="15" t="s">
        <v>7</v>
      </c>
      <c r="AL6" s="4">
        <v>1</v>
      </c>
      <c r="AM6" s="125">
        <v>23566</v>
      </c>
      <c r="AN6" s="15" t="s">
        <v>8</v>
      </c>
      <c r="AO6" s="4">
        <v>1</v>
      </c>
      <c r="AP6" s="125">
        <v>19068.009999999998</v>
      </c>
      <c r="AQ6" s="4" t="s">
        <v>9</v>
      </c>
      <c r="AR6" s="1">
        <v>1</v>
      </c>
      <c r="AS6" s="125">
        <v>20497.93</v>
      </c>
      <c r="AT6" s="15" t="s">
        <v>10</v>
      </c>
      <c r="AU6" s="4">
        <v>1</v>
      </c>
      <c r="AV6" s="125">
        <v>20653.009999999998</v>
      </c>
      <c r="AW6" s="4" t="s">
        <v>11</v>
      </c>
      <c r="AX6" s="1">
        <v>1</v>
      </c>
      <c r="AY6" s="125">
        <v>22421.78</v>
      </c>
      <c r="AZ6" s="15" t="s">
        <v>12</v>
      </c>
      <c r="BA6" s="4">
        <v>1</v>
      </c>
      <c r="BB6" s="125">
        <v>20928.169999999998</v>
      </c>
      <c r="BC6" s="4" t="s">
        <v>13</v>
      </c>
      <c r="BD6" s="1">
        <v>1</v>
      </c>
      <c r="BE6" s="125">
        <v>22721.7</v>
      </c>
      <c r="BF6" s="15" t="s">
        <v>14</v>
      </c>
      <c r="BG6" s="4">
        <v>1</v>
      </c>
      <c r="BH6" s="125">
        <v>21228.12</v>
      </c>
      <c r="BI6" s="4" t="s">
        <v>15</v>
      </c>
      <c r="BJ6" s="1">
        <v>1</v>
      </c>
      <c r="BK6" s="125">
        <v>23048.66</v>
      </c>
      <c r="BL6" s="15" t="s">
        <v>16</v>
      </c>
      <c r="BM6" s="4">
        <v>1</v>
      </c>
      <c r="BN6" s="125">
        <v>27566</v>
      </c>
      <c r="BO6" s="4" t="s">
        <v>17</v>
      </c>
      <c r="BP6" s="1">
        <v>1</v>
      </c>
      <c r="BQ6" s="124">
        <v>24048.66</v>
      </c>
      <c r="BR6" s="15" t="s">
        <v>18</v>
      </c>
      <c r="BS6" s="4">
        <v>1</v>
      </c>
      <c r="BT6" s="125">
        <v>20959.400000000001</v>
      </c>
      <c r="BU6" s="15" t="s">
        <v>19</v>
      </c>
      <c r="BV6" s="4">
        <v>1</v>
      </c>
      <c r="BW6" s="125">
        <v>23636.65</v>
      </c>
      <c r="BX6" s="15" t="s">
        <v>20</v>
      </c>
      <c r="BY6" s="4">
        <v>1</v>
      </c>
      <c r="BZ6" s="125">
        <v>24392.73</v>
      </c>
      <c r="CD6"/>
    </row>
    <row r="7" spans="2:84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5" t="s">
        <v>0</v>
      </c>
      <c r="Q7" s="4">
        <v>2</v>
      </c>
      <c r="R7" s="124">
        <v>15749.68</v>
      </c>
      <c r="S7" s="15" t="s">
        <v>1</v>
      </c>
      <c r="T7" s="4">
        <v>2</v>
      </c>
      <c r="U7" s="125">
        <v>16599</v>
      </c>
      <c r="V7" s="4" t="s">
        <v>2</v>
      </c>
      <c r="W7" s="4">
        <v>2</v>
      </c>
      <c r="X7" s="125">
        <v>17286.560000000001</v>
      </c>
      <c r="Y7" s="4" t="s">
        <v>3</v>
      </c>
      <c r="Z7" s="4">
        <v>2</v>
      </c>
      <c r="AA7" s="125">
        <v>17288.419999999998</v>
      </c>
      <c r="AB7" s="15" t="s">
        <v>4</v>
      </c>
      <c r="AC7" s="4">
        <v>2</v>
      </c>
      <c r="AD7" s="125">
        <v>18030.3</v>
      </c>
      <c r="AE7" s="15" t="s">
        <v>5</v>
      </c>
      <c r="AF7" s="4">
        <v>2</v>
      </c>
      <c r="AG7" s="125">
        <v>18154.240000000002</v>
      </c>
      <c r="AH7" s="15" t="s">
        <v>6</v>
      </c>
      <c r="AI7" s="4">
        <v>2</v>
      </c>
      <c r="AJ7" s="125">
        <v>22066</v>
      </c>
      <c r="AK7" s="15" t="s">
        <v>7</v>
      </c>
      <c r="AL7" s="4">
        <v>2</v>
      </c>
      <c r="AM7" s="125">
        <v>23766</v>
      </c>
      <c r="AN7" s="15" t="s">
        <v>8</v>
      </c>
      <c r="AO7" s="4">
        <v>2</v>
      </c>
      <c r="AP7" s="125">
        <v>19517.009999999998</v>
      </c>
      <c r="AQ7" s="4" t="s">
        <v>9</v>
      </c>
      <c r="AR7" s="1">
        <v>2</v>
      </c>
      <c r="AS7" s="125">
        <v>21081.58</v>
      </c>
      <c r="AT7" s="15" t="s">
        <v>10</v>
      </c>
      <c r="AU7" s="4">
        <v>2</v>
      </c>
      <c r="AV7" s="125">
        <v>21218.21</v>
      </c>
      <c r="AW7" s="4" t="s">
        <v>11</v>
      </c>
      <c r="AX7" s="1">
        <v>2</v>
      </c>
      <c r="AY7" s="125">
        <v>23037.85</v>
      </c>
      <c r="AZ7" s="15" t="s">
        <v>12</v>
      </c>
      <c r="BA7" s="4">
        <v>2</v>
      </c>
      <c r="BB7" s="125">
        <v>21520.639999999999</v>
      </c>
      <c r="BC7" s="4" t="s">
        <v>13</v>
      </c>
      <c r="BD7" s="1">
        <v>2</v>
      </c>
      <c r="BE7" s="125">
        <v>23367.49</v>
      </c>
      <c r="BF7" s="15" t="s">
        <v>14</v>
      </c>
      <c r="BG7" s="4">
        <v>2</v>
      </c>
      <c r="BH7" s="125">
        <v>21872.65</v>
      </c>
      <c r="BI7" s="4" t="s">
        <v>15</v>
      </c>
      <c r="BJ7" s="1">
        <v>2</v>
      </c>
      <c r="BK7" s="125">
        <v>23751.200000000001</v>
      </c>
      <c r="BL7" s="15" t="s">
        <v>16</v>
      </c>
      <c r="BM7" s="4">
        <v>2</v>
      </c>
      <c r="BN7" s="125">
        <v>27835</v>
      </c>
      <c r="BO7" s="4" t="s">
        <v>17</v>
      </c>
      <c r="BP7" s="1">
        <v>2</v>
      </c>
      <c r="BQ7" s="124">
        <v>24751.200000000001</v>
      </c>
      <c r="BR7" s="15" t="s">
        <v>18</v>
      </c>
      <c r="BS7" s="4">
        <v>2</v>
      </c>
      <c r="BT7" s="125">
        <v>21591.53</v>
      </c>
      <c r="BU7" s="15" t="s">
        <v>19</v>
      </c>
      <c r="BV7" s="4">
        <v>2</v>
      </c>
      <c r="BW7" s="125">
        <v>24219.200000000001</v>
      </c>
      <c r="BX7" s="15" t="s">
        <v>20</v>
      </c>
      <c r="BY7" s="4">
        <v>2</v>
      </c>
      <c r="BZ7" s="125">
        <v>24987.68</v>
      </c>
      <c r="CD7"/>
    </row>
    <row r="8" spans="2:84" x14ac:dyDescent="0.2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P8" s="15" t="s">
        <v>0</v>
      </c>
      <c r="Q8" s="4">
        <v>3</v>
      </c>
      <c r="R8" s="124">
        <v>15997.58</v>
      </c>
      <c r="S8" s="15" t="s">
        <v>1</v>
      </c>
      <c r="T8" s="4">
        <v>3</v>
      </c>
      <c r="U8" s="125">
        <v>16871.689999999999</v>
      </c>
      <c r="V8" s="4" t="s">
        <v>2</v>
      </c>
      <c r="W8" s="4">
        <v>3</v>
      </c>
      <c r="X8" s="125">
        <v>17534.53</v>
      </c>
      <c r="Y8" s="4" t="s">
        <v>3</v>
      </c>
      <c r="Z8" s="4">
        <v>3</v>
      </c>
      <c r="AA8" s="125">
        <v>17559.32</v>
      </c>
      <c r="AB8" s="15" t="s">
        <v>4</v>
      </c>
      <c r="AC8" s="4">
        <v>3</v>
      </c>
      <c r="AD8" s="125">
        <v>18594.54</v>
      </c>
      <c r="AE8" s="15" t="s">
        <v>5</v>
      </c>
      <c r="AF8" s="4">
        <v>3</v>
      </c>
      <c r="AG8" s="125">
        <v>18755.66</v>
      </c>
      <c r="AH8" s="15" t="s">
        <v>6</v>
      </c>
      <c r="AI8" s="4">
        <v>3</v>
      </c>
      <c r="AJ8" s="125">
        <v>22265</v>
      </c>
      <c r="AK8" s="15" t="s">
        <v>7</v>
      </c>
      <c r="AL8" s="4">
        <v>3</v>
      </c>
      <c r="AM8" s="125">
        <v>23965</v>
      </c>
      <c r="AN8" s="15" t="s">
        <v>8</v>
      </c>
      <c r="AO8" s="4">
        <v>3</v>
      </c>
      <c r="AP8" s="125">
        <v>19958.93</v>
      </c>
      <c r="AQ8" s="4" t="s">
        <v>9</v>
      </c>
      <c r="AR8" s="1">
        <v>3</v>
      </c>
      <c r="AS8" s="125">
        <v>21665.23</v>
      </c>
      <c r="AT8" s="15" t="s">
        <v>10</v>
      </c>
      <c r="AU8" s="4">
        <v>3</v>
      </c>
      <c r="AV8" s="125">
        <v>21783.41</v>
      </c>
      <c r="AW8" s="4" t="s">
        <v>11</v>
      </c>
      <c r="AX8" s="1">
        <v>3</v>
      </c>
      <c r="AY8" s="125">
        <v>23653.919999999998</v>
      </c>
      <c r="AZ8" s="15" t="s">
        <v>12</v>
      </c>
      <c r="BA8" s="4">
        <v>3</v>
      </c>
      <c r="BB8" s="125">
        <v>22113.11</v>
      </c>
      <c r="BC8" s="4" t="s">
        <v>13</v>
      </c>
      <c r="BD8" s="1">
        <v>3</v>
      </c>
      <c r="BE8" s="125">
        <v>24013.279999999999</v>
      </c>
      <c r="BF8" s="15" t="s">
        <v>14</v>
      </c>
      <c r="BG8" s="4">
        <v>3</v>
      </c>
      <c r="BH8" s="125">
        <v>22517.18</v>
      </c>
      <c r="BI8" s="4" t="s">
        <v>15</v>
      </c>
      <c r="BJ8" s="1">
        <v>3</v>
      </c>
      <c r="BK8" s="125">
        <v>24453.74</v>
      </c>
      <c r="BL8" s="15" t="s">
        <v>16</v>
      </c>
      <c r="BM8" s="4">
        <v>3</v>
      </c>
      <c r="BN8" s="125">
        <v>28105</v>
      </c>
      <c r="BO8" s="4" t="s">
        <v>17</v>
      </c>
      <c r="BP8" s="1">
        <v>3</v>
      </c>
      <c r="BQ8" s="124">
        <v>25453.74</v>
      </c>
      <c r="BR8" s="15" t="s">
        <v>18</v>
      </c>
      <c r="BS8" s="4">
        <v>3</v>
      </c>
      <c r="BT8" s="125">
        <v>22211.27</v>
      </c>
      <c r="BU8" s="15" t="s">
        <v>19</v>
      </c>
      <c r="BV8" s="4">
        <v>3</v>
      </c>
      <c r="BW8" s="125">
        <v>24801.75</v>
      </c>
      <c r="BX8" s="15" t="s">
        <v>20</v>
      </c>
      <c r="BY8" s="4">
        <v>3</v>
      </c>
      <c r="BZ8" s="125">
        <v>25582.63</v>
      </c>
      <c r="CD8"/>
    </row>
    <row r="9" spans="2:84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P9" s="15" t="s">
        <v>0</v>
      </c>
      <c r="Q9" s="4">
        <v>4</v>
      </c>
      <c r="R9" s="124">
        <v>16425.48</v>
      </c>
      <c r="S9" s="15" t="s">
        <v>1</v>
      </c>
      <c r="T9" s="4">
        <v>4</v>
      </c>
      <c r="U9" s="125">
        <v>17144.38</v>
      </c>
      <c r="V9" s="4" t="s">
        <v>2</v>
      </c>
      <c r="W9" s="4">
        <v>4</v>
      </c>
      <c r="X9" s="125">
        <v>17881.59</v>
      </c>
      <c r="Y9" s="4" t="s">
        <v>3</v>
      </c>
      <c r="Z9" s="4">
        <v>4</v>
      </c>
      <c r="AA9" s="125">
        <v>17906.38</v>
      </c>
      <c r="AB9" s="15" t="s">
        <v>4</v>
      </c>
      <c r="AC9" s="4">
        <v>4</v>
      </c>
      <c r="AD9" s="125">
        <v>18978.78</v>
      </c>
      <c r="AE9" s="15" t="s">
        <v>5</v>
      </c>
      <c r="AF9" s="4">
        <v>4</v>
      </c>
      <c r="AG9" s="125">
        <v>19177.080000000002</v>
      </c>
      <c r="AH9" s="15" t="s">
        <v>6</v>
      </c>
      <c r="AI9" s="4">
        <v>4</v>
      </c>
      <c r="AJ9" s="125">
        <v>22465</v>
      </c>
      <c r="AK9" s="15" t="s">
        <v>7</v>
      </c>
      <c r="AL9" s="4">
        <v>4</v>
      </c>
      <c r="AM9" s="125">
        <v>24165</v>
      </c>
      <c r="AN9" s="15" t="s">
        <v>8</v>
      </c>
      <c r="AO9" s="4">
        <v>4</v>
      </c>
      <c r="AP9" s="125">
        <v>20494.39</v>
      </c>
      <c r="AQ9" s="4" t="s">
        <v>9</v>
      </c>
      <c r="AR9" s="1">
        <v>4</v>
      </c>
      <c r="AS9" s="125">
        <v>22248.880000000001</v>
      </c>
      <c r="AT9" s="15" t="s">
        <v>10</v>
      </c>
      <c r="AU9" s="4">
        <v>4</v>
      </c>
      <c r="AV9" s="125">
        <v>22348.61</v>
      </c>
      <c r="AW9" s="4" t="s">
        <v>11</v>
      </c>
      <c r="AX9" s="1">
        <v>4</v>
      </c>
      <c r="AY9" s="125">
        <v>24269.99</v>
      </c>
      <c r="AZ9" s="15" t="s">
        <v>12</v>
      </c>
      <c r="BA9" s="4">
        <v>4</v>
      </c>
      <c r="BB9" s="125">
        <v>22705.58</v>
      </c>
      <c r="BC9" s="4" t="s">
        <v>13</v>
      </c>
      <c r="BD9" s="1">
        <v>4</v>
      </c>
      <c r="BE9" s="125">
        <v>24659.07</v>
      </c>
      <c r="BF9" s="15" t="s">
        <v>14</v>
      </c>
      <c r="BG9" s="4">
        <v>4</v>
      </c>
      <c r="BH9" s="125">
        <v>23161.71</v>
      </c>
      <c r="BI9" s="4" t="s">
        <v>15</v>
      </c>
      <c r="BJ9" s="1">
        <v>4</v>
      </c>
      <c r="BK9" s="125">
        <v>25156.28</v>
      </c>
      <c r="BL9" s="15" t="s">
        <v>16</v>
      </c>
      <c r="BM9" s="4">
        <v>4</v>
      </c>
      <c r="BN9" s="125">
        <v>28375</v>
      </c>
      <c r="BO9" s="4" t="s">
        <v>17</v>
      </c>
      <c r="BP9" s="1">
        <v>4</v>
      </c>
      <c r="BQ9" s="124">
        <v>26156.28</v>
      </c>
      <c r="BR9" s="15" t="s">
        <v>18</v>
      </c>
      <c r="BS9" s="4">
        <v>4</v>
      </c>
      <c r="BT9" s="125">
        <v>22831.01</v>
      </c>
      <c r="BU9" s="15" t="s">
        <v>19</v>
      </c>
      <c r="BV9" s="4">
        <v>4</v>
      </c>
      <c r="BW9" s="125">
        <v>25384.3</v>
      </c>
      <c r="BX9" s="15" t="s">
        <v>20</v>
      </c>
      <c r="BY9" s="4">
        <v>4</v>
      </c>
      <c r="BZ9" s="125">
        <v>26177.58</v>
      </c>
      <c r="CD9"/>
    </row>
    <row r="10" spans="2:84" x14ac:dyDescent="0.2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P10" s="15" t="s">
        <v>0</v>
      </c>
      <c r="Q10" s="4">
        <v>5</v>
      </c>
      <c r="R10" s="124">
        <v>16673.38</v>
      </c>
      <c r="S10" s="15" t="s">
        <v>1</v>
      </c>
      <c r="T10" s="4">
        <v>5</v>
      </c>
      <c r="U10" s="125">
        <v>17290.28</v>
      </c>
      <c r="V10" s="4" t="s">
        <v>2</v>
      </c>
      <c r="W10" s="4">
        <v>5</v>
      </c>
      <c r="X10" s="125">
        <v>18228.650000000001</v>
      </c>
      <c r="Y10" s="4" t="s">
        <v>3</v>
      </c>
      <c r="Z10" s="4">
        <v>5</v>
      </c>
      <c r="AA10" s="125">
        <v>18253.439999999999</v>
      </c>
      <c r="AB10" s="15" t="s">
        <v>4</v>
      </c>
      <c r="AC10" s="4">
        <v>5</v>
      </c>
      <c r="AD10" s="125">
        <v>19363.02</v>
      </c>
      <c r="AE10" s="15" t="s">
        <v>5</v>
      </c>
      <c r="AF10" s="4">
        <v>5</v>
      </c>
      <c r="AG10" s="125">
        <v>19516.63</v>
      </c>
      <c r="AH10" s="15" t="s">
        <v>6</v>
      </c>
      <c r="AI10" s="4">
        <v>5</v>
      </c>
      <c r="AJ10" s="125">
        <v>22665</v>
      </c>
      <c r="AK10" s="15" t="s">
        <v>7</v>
      </c>
      <c r="AL10" s="4">
        <v>5</v>
      </c>
      <c r="AM10" s="125">
        <v>24365</v>
      </c>
      <c r="AN10" s="15" t="s">
        <v>8</v>
      </c>
      <c r="AO10" s="4">
        <v>5</v>
      </c>
      <c r="AP10" s="125">
        <v>21029.85</v>
      </c>
      <c r="AQ10" s="4" t="s">
        <v>9</v>
      </c>
      <c r="AR10" s="1">
        <v>5</v>
      </c>
      <c r="AS10" s="125">
        <v>22832.53</v>
      </c>
      <c r="AT10" s="15" t="s">
        <v>10</v>
      </c>
      <c r="AU10" s="4">
        <v>5</v>
      </c>
      <c r="AV10" s="125">
        <v>22913.81</v>
      </c>
      <c r="AW10" s="4" t="s">
        <v>11</v>
      </c>
      <c r="AX10" s="1">
        <v>5</v>
      </c>
      <c r="AY10" s="125">
        <v>24886.06</v>
      </c>
      <c r="AZ10" s="15" t="s">
        <v>12</v>
      </c>
      <c r="BA10" s="4">
        <v>5</v>
      </c>
      <c r="BB10" s="125">
        <v>23298.05</v>
      </c>
      <c r="BC10" s="4" t="s">
        <v>13</v>
      </c>
      <c r="BD10" s="1">
        <v>5</v>
      </c>
      <c r="BE10" s="125">
        <v>25304.86</v>
      </c>
      <c r="BF10" s="15" t="s">
        <v>14</v>
      </c>
      <c r="BG10" s="4">
        <v>5</v>
      </c>
      <c r="BH10" s="125">
        <v>23806.240000000002</v>
      </c>
      <c r="BI10" s="4" t="s">
        <v>15</v>
      </c>
      <c r="BJ10" s="1">
        <v>5</v>
      </c>
      <c r="BK10" s="125">
        <v>25858.82</v>
      </c>
      <c r="BL10" s="15" t="s">
        <v>16</v>
      </c>
      <c r="BM10" s="4">
        <v>5</v>
      </c>
      <c r="BN10" s="125">
        <v>28644</v>
      </c>
      <c r="BO10" s="4" t="s">
        <v>17</v>
      </c>
      <c r="BP10" s="1">
        <v>5</v>
      </c>
      <c r="BQ10" s="124">
        <v>26858.82</v>
      </c>
      <c r="BR10" s="15" t="s">
        <v>18</v>
      </c>
      <c r="BS10" s="4">
        <v>5</v>
      </c>
      <c r="BT10" s="125">
        <v>23450.75</v>
      </c>
      <c r="BU10" s="15" t="s">
        <v>19</v>
      </c>
      <c r="BV10" s="4">
        <v>5</v>
      </c>
      <c r="BW10" s="125">
        <v>25966.85</v>
      </c>
      <c r="BX10" s="15" t="s">
        <v>20</v>
      </c>
      <c r="BY10" s="4">
        <v>5</v>
      </c>
      <c r="BZ10" s="125">
        <v>26772.53</v>
      </c>
      <c r="CD10"/>
    </row>
    <row r="11" spans="2:84" x14ac:dyDescent="0.2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P11" s="15" t="s">
        <v>0</v>
      </c>
      <c r="Q11" s="4">
        <v>6</v>
      </c>
      <c r="R11" s="124">
        <v>16921.28</v>
      </c>
      <c r="S11" s="15" t="s">
        <v>1</v>
      </c>
      <c r="T11" s="4">
        <v>6</v>
      </c>
      <c r="U11" s="125">
        <v>17509.759999999998</v>
      </c>
      <c r="V11" s="4" t="s">
        <v>2</v>
      </c>
      <c r="W11" s="4">
        <v>6</v>
      </c>
      <c r="X11" s="125">
        <v>18755.71</v>
      </c>
      <c r="Y11" s="4" t="s">
        <v>3</v>
      </c>
      <c r="Z11" s="4">
        <v>6</v>
      </c>
      <c r="AA11" s="125">
        <v>18780.5</v>
      </c>
      <c r="AB11" s="15" t="s">
        <v>4</v>
      </c>
      <c r="AC11" s="4">
        <v>6</v>
      </c>
      <c r="AD11" s="125">
        <v>19567.259999999998</v>
      </c>
      <c r="AE11" s="15" t="s">
        <v>5</v>
      </c>
      <c r="AF11" s="4">
        <v>6</v>
      </c>
      <c r="AG11" s="125">
        <v>19839.919999999998</v>
      </c>
      <c r="AH11" s="15" t="s">
        <v>6</v>
      </c>
      <c r="AI11" s="4">
        <v>6</v>
      </c>
      <c r="AJ11" s="125">
        <v>22865</v>
      </c>
      <c r="AK11" s="15" t="s">
        <v>7</v>
      </c>
      <c r="AL11" s="4">
        <v>6</v>
      </c>
      <c r="AM11" s="125">
        <v>24565</v>
      </c>
      <c r="AN11" s="15" t="s">
        <v>8</v>
      </c>
      <c r="AO11" s="4">
        <v>6</v>
      </c>
      <c r="AP11" s="125">
        <v>21565.31</v>
      </c>
      <c r="AQ11" s="4" t="s">
        <v>9</v>
      </c>
      <c r="AR11" s="1">
        <v>6</v>
      </c>
      <c r="AS11" s="125">
        <v>23416.18</v>
      </c>
      <c r="AT11" s="15" t="s">
        <v>10</v>
      </c>
      <c r="AU11" s="4">
        <v>6</v>
      </c>
      <c r="AV11" s="125">
        <v>23479.01</v>
      </c>
      <c r="AW11" s="4" t="s">
        <v>11</v>
      </c>
      <c r="AX11" s="1">
        <v>6</v>
      </c>
      <c r="AY11" s="125">
        <v>25502.13</v>
      </c>
      <c r="AZ11" s="15" t="s">
        <v>12</v>
      </c>
      <c r="BA11" s="4">
        <v>6</v>
      </c>
      <c r="BB11" s="125">
        <v>23890.52</v>
      </c>
      <c r="BC11" s="4" t="s">
        <v>13</v>
      </c>
      <c r="BD11" s="1">
        <v>6</v>
      </c>
      <c r="BE11" s="125">
        <v>25950.65</v>
      </c>
      <c r="BF11" s="15" t="s">
        <v>14</v>
      </c>
      <c r="BG11" s="4">
        <v>6</v>
      </c>
      <c r="BH11" s="125">
        <v>24450.77</v>
      </c>
      <c r="BI11" s="4" t="s">
        <v>15</v>
      </c>
      <c r="BJ11" s="1">
        <v>6</v>
      </c>
      <c r="BK11" s="125">
        <v>26561.360000000001</v>
      </c>
      <c r="BL11" s="15" t="s">
        <v>16</v>
      </c>
      <c r="BM11" s="4">
        <v>6</v>
      </c>
      <c r="BN11" s="125">
        <v>28914</v>
      </c>
      <c r="BO11" s="4" t="s">
        <v>17</v>
      </c>
      <c r="BP11" s="1">
        <v>6</v>
      </c>
      <c r="BQ11" s="124">
        <v>27561.360000000001</v>
      </c>
      <c r="BR11" s="15" t="s">
        <v>18</v>
      </c>
      <c r="BS11" s="4">
        <v>6</v>
      </c>
      <c r="BT11" s="125">
        <v>24070.49</v>
      </c>
      <c r="BU11" s="15" t="s">
        <v>19</v>
      </c>
      <c r="BV11" s="4">
        <v>6</v>
      </c>
      <c r="BW11" s="125">
        <v>26549.4</v>
      </c>
      <c r="BX11" s="15" t="s">
        <v>20</v>
      </c>
      <c r="BY11" s="4">
        <v>6</v>
      </c>
      <c r="BZ11" s="125">
        <v>27367.48</v>
      </c>
      <c r="CD11"/>
    </row>
    <row r="12" spans="2:84" x14ac:dyDescent="0.2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P12" s="15" t="s">
        <v>0</v>
      </c>
      <c r="Q12" s="4">
        <v>7</v>
      </c>
      <c r="R12" s="124">
        <v>17169.18</v>
      </c>
      <c r="S12" s="15" t="s">
        <v>1</v>
      </c>
      <c r="T12" s="4">
        <v>7</v>
      </c>
      <c r="U12" s="125">
        <v>17782.45</v>
      </c>
      <c r="V12" s="4" t="s">
        <v>2</v>
      </c>
      <c r="W12" s="4">
        <v>7</v>
      </c>
      <c r="X12" s="125">
        <v>19102.77</v>
      </c>
      <c r="Y12" s="4" t="s">
        <v>3</v>
      </c>
      <c r="Z12" s="4">
        <v>7</v>
      </c>
      <c r="AA12" s="125">
        <v>19127.560000000001</v>
      </c>
      <c r="AB12" s="15" t="s">
        <v>4</v>
      </c>
      <c r="AC12" s="4">
        <v>7</v>
      </c>
      <c r="AD12" s="125">
        <v>19951.5</v>
      </c>
      <c r="AE12" s="15" t="s">
        <v>5</v>
      </c>
      <c r="AF12" s="4">
        <v>7</v>
      </c>
      <c r="AG12" s="125">
        <v>20261.34</v>
      </c>
      <c r="AH12" s="15" t="s">
        <v>6</v>
      </c>
      <c r="AI12" s="4">
        <v>7</v>
      </c>
      <c r="AJ12" s="125">
        <v>23064</v>
      </c>
      <c r="AK12" s="15" t="s">
        <v>7</v>
      </c>
      <c r="AL12" s="4">
        <v>7</v>
      </c>
      <c r="AM12" s="125">
        <v>24764</v>
      </c>
      <c r="AN12" s="15" t="s">
        <v>8</v>
      </c>
      <c r="AO12" s="4">
        <v>7</v>
      </c>
      <c r="AP12" s="125">
        <v>22100.77</v>
      </c>
      <c r="AQ12" s="4" t="s">
        <v>9</v>
      </c>
      <c r="AR12" s="1">
        <v>7</v>
      </c>
      <c r="AS12" s="125">
        <v>23999.83</v>
      </c>
      <c r="AT12" s="15" t="s">
        <v>10</v>
      </c>
      <c r="AU12" s="4">
        <v>7</v>
      </c>
      <c r="AV12" s="125">
        <v>24044.21</v>
      </c>
      <c r="AW12" s="4" t="s">
        <v>11</v>
      </c>
      <c r="AX12" s="1">
        <v>7</v>
      </c>
      <c r="AY12" s="125">
        <v>26118.2</v>
      </c>
      <c r="AZ12" s="15" t="s">
        <v>12</v>
      </c>
      <c r="BA12" s="4">
        <v>7</v>
      </c>
      <c r="BB12" s="125">
        <v>24482.99</v>
      </c>
      <c r="BC12" s="4" t="s">
        <v>13</v>
      </c>
      <c r="BD12" s="1">
        <v>7</v>
      </c>
      <c r="BE12" s="125">
        <v>26596.44</v>
      </c>
      <c r="BF12" s="15" t="s">
        <v>14</v>
      </c>
      <c r="BG12" s="4">
        <v>7</v>
      </c>
      <c r="BH12" s="125">
        <v>25095.3</v>
      </c>
      <c r="BI12" s="4" t="s">
        <v>15</v>
      </c>
      <c r="BJ12" s="1">
        <v>7</v>
      </c>
      <c r="BK12" s="125">
        <v>27263.9</v>
      </c>
      <c r="BL12" s="15" t="s">
        <v>16</v>
      </c>
      <c r="BM12" s="4">
        <v>7</v>
      </c>
      <c r="BN12" s="125">
        <v>29184</v>
      </c>
      <c r="BO12" s="4" t="s">
        <v>17</v>
      </c>
      <c r="BP12" s="1">
        <v>7</v>
      </c>
      <c r="BQ12" s="124">
        <v>28263.9</v>
      </c>
      <c r="BR12" s="15" t="s">
        <v>18</v>
      </c>
      <c r="BS12" s="4">
        <v>7</v>
      </c>
      <c r="BT12" s="125">
        <v>24690.23</v>
      </c>
      <c r="BU12" s="15" t="s">
        <v>19</v>
      </c>
      <c r="BV12" s="4">
        <v>7</v>
      </c>
      <c r="BW12" s="125">
        <v>27131.95</v>
      </c>
      <c r="BX12" s="15" t="s">
        <v>20</v>
      </c>
      <c r="BY12" s="4">
        <v>7</v>
      </c>
      <c r="BZ12" s="125">
        <v>27962.43</v>
      </c>
      <c r="CD12"/>
    </row>
    <row r="13" spans="2:84" x14ac:dyDescent="0.2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P13" s="15" t="s">
        <v>0</v>
      </c>
      <c r="Q13" s="4">
        <v>8</v>
      </c>
      <c r="R13" s="124">
        <v>17290.28</v>
      </c>
      <c r="S13" s="15" t="s">
        <v>1</v>
      </c>
      <c r="T13" s="4">
        <v>8</v>
      </c>
      <c r="U13" s="125">
        <v>18055.14</v>
      </c>
      <c r="V13" s="4" t="s">
        <v>2</v>
      </c>
      <c r="W13" s="4">
        <v>8</v>
      </c>
      <c r="X13" s="125">
        <v>19449.830000000002</v>
      </c>
      <c r="Y13" s="4" t="s">
        <v>3</v>
      </c>
      <c r="Z13" s="4">
        <v>8</v>
      </c>
      <c r="AA13" s="125">
        <v>19474.62</v>
      </c>
      <c r="AB13" s="15" t="s">
        <v>4</v>
      </c>
      <c r="AC13" s="4">
        <v>8</v>
      </c>
      <c r="AD13" s="125">
        <v>20335.740000000002</v>
      </c>
      <c r="AE13" s="15" t="s">
        <v>5</v>
      </c>
      <c r="AF13" s="4">
        <v>8</v>
      </c>
      <c r="AG13" s="125">
        <v>20682.759999999998</v>
      </c>
      <c r="AH13" s="15" t="s">
        <v>6</v>
      </c>
      <c r="AI13" s="4">
        <v>8</v>
      </c>
      <c r="AJ13" s="125">
        <v>23264</v>
      </c>
      <c r="AK13" s="15" t="s">
        <v>7</v>
      </c>
      <c r="AL13" s="4">
        <v>8</v>
      </c>
      <c r="AM13" s="125">
        <v>24964</v>
      </c>
      <c r="AN13" s="15" t="s">
        <v>8</v>
      </c>
      <c r="AO13" s="4">
        <v>8</v>
      </c>
      <c r="AP13" s="125">
        <v>22636.23</v>
      </c>
      <c r="AQ13" s="4" t="s">
        <v>9</v>
      </c>
      <c r="AR13" s="1">
        <v>8</v>
      </c>
      <c r="AS13" s="125">
        <v>24583.48</v>
      </c>
      <c r="AT13" s="15" t="s">
        <v>10</v>
      </c>
      <c r="AU13" s="4">
        <v>8</v>
      </c>
      <c r="AV13" s="125">
        <v>24609.41</v>
      </c>
      <c r="AW13" s="4" t="s">
        <v>11</v>
      </c>
      <c r="AX13" s="1">
        <v>8</v>
      </c>
      <c r="AY13" s="125">
        <v>26734.27</v>
      </c>
      <c r="AZ13" s="15" t="s">
        <v>12</v>
      </c>
      <c r="BA13" s="4">
        <v>8</v>
      </c>
      <c r="BB13" s="125">
        <v>25075.46</v>
      </c>
      <c r="BC13" s="4" t="s">
        <v>13</v>
      </c>
      <c r="BD13" s="1">
        <v>8</v>
      </c>
      <c r="BE13" s="125">
        <v>27242.23</v>
      </c>
      <c r="BF13" s="15" t="s">
        <v>14</v>
      </c>
      <c r="BG13" s="4">
        <v>8</v>
      </c>
      <c r="BH13" s="125">
        <v>25739.83</v>
      </c>
      <c r="BI13" s="4" t="s">
        <v>15</v>
      </c>
      <c r="BJ13" s="1">
        <v>8</v>
      </c>
      <c r="BK13" s="125">
        <v>27966.44</v>
      </c>
      <c r="BL13" s="15" t="s">
        <v>16</v>
      </c>
      <c r="BM13" s="4">
        <v>8</v>
      </c>
      <c r="BN13" s="125">
        <v>29453</v>
      </c>
      <c r="BO13" s="4" t="s">
        <v>17</v>
      </c>
      <c r="BP13" s="1">
        <v>8</v>
      </c>
      <c r="BQ13" s="124">
        <v>28966.44</v>
      </c>
      <c r="BR13" s="15" t="s">
        <v>18</v>
      </c>
      <c r="BS13" s="4">
        <v>8</v>
      </c>
      <c r="BT13" s="125">
        <v>25309.97</v>
      </c>
      <c r="BU13" s="15" t="s">
        <v>19</v>
      </c>
      <c r="BV13" s="4">
        <v>8</v>
      </c>
      <c r="BW13" s="125">
        <v>27714.5</v>
      </c>
      <c r="BX13" s="15" t="s">
        <v>20</v>
      </c>
      <c r="BY13" s="4">
        <v>8</v>
      </c>
      <c r="BZ13" s="125">
        <v>28557.38</v>
      </c>
      <c r="CD13"/>
    </row>
    <row r="14" spans="2:84" x14ac:dyDescent="0.2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P14" s="15" t="s">
        <v>0</v>
      </c>
      <c r="Q14" s="4">
        <v>9</v>
      </c>
      <c r="R14" s="124">
        <v>17484.98</v>
      </c>
      <c r="S14" s="15" t="s">
        <v>1</v>
      </c>
      <c r="T14" s="4">
        <v>9</v>
      </c>
      <c r="U14" s="125">
        <v>18327.830000000002</v>
      </c>
      <c r="V14" s="4" t="s">
        <v>2</v>
      </c>
      <c r="W14" s="4">
        <v>9</v>
      </c>
      <c r="X14" s="125">
        <v>19616.89</v>
      </c>
      <c r="Y14" s="4" t="s">
        <v>3</v>
      </c>
      <c r="Z14" s="4">
        <v>9</v>
      </c>
      <c r="AA14" s="125">
        <v>19641.68</v>
      </c>
      <c r="AB14" s="15" t="s">
        <v>4</v>
      </c>
      <c r="AC14" s="4">
        <v>9</v>
      </c>
      <c r="AD14" s="125">
        <v>20719.98</v>
      </c>
      <c r="AE14" s="15" t="s">
        <v>5</v>
      </c>
      <c r="AF14" s="4">
        <v>9</v>
      </c>
      <c r="AG14" s="125">
        <v>21104.18</v>
      </c>
      <c r="AH14" s="15" t="s">
        <v>6</v>
      </c>
      <c r="AI14" s="4">
        <v>9</v>
      </c>
      <c r="AJ14" s="125">
        <v>23464</v>
      </c>
      <c r="AK14" s="15" t="s">
        <v>7</v>
      </c>
      <c r="AL14" s="4">
        <v>9</v>
      </c>
      <c r="AM14" s="125">
        <v>25164</v>
      </c>
      <c r="AN14" s="15" t="s">
        <v>8</v>
      </c>
      <c r="AO14" s="4">
        <v>9</v>
      </c>
      <c r="AP14" s="125">
        <v>23171.69</v>
      </c>
      <c r="AQ14" s="4" t="s">
        <v>9</v>
      </c>
      <c r="AR14" s="1">
        <v>9</v>
      </c>
      <c r="AS14" s="125">
        <v>25167.13</v>
      </c>
      <c r="AT14" s="15" t="s">
        <v>10</v>
      </c>
      <c r="AU14" s="4">
        <v>9</v>
      </c>
      <c r="AV14" s="125">
        <v>25174.61</v>
      </c>
      <c r="AW14" s="4" t="s">
        <v>11</v>
      </c>
      <c r="AX14" s="1">
        <v>9</v>
      </c>
      <c r="AY14" s="125">
        <v>27350.34</v>
      </c>
      <c r="AZ14" s="15" t="s">
        <v>12</v>
      </c>
      <c r="BA14" s="4">
        <v>9</v>
      </c>
      <c r="BB14" s="125">
        <v>25667.93</v>
      </c>
      <c r="BC14" s="4" t="s">
        <v>13</v>
      </c>
      <c r="BD14" s="1">
        <v>9</v>
      </c>
      <c r="BE14" s="125">
        <v>27888.02</v>
      </c>
      <c r="BF14" s="15" t="s">
        <v>14</v>
      </c>
      <c r="BG14" s="4">
        <v>9</v>
      </c>
      <c r="BH14" s="125">
        <v>26384.36</v>
      </c>
      <c r="BI14" s="4" t="s">
        <v>15</v>
      </c>
      <c r="BJ14" s="1">
        <v>9</v>
      </c>
      <c r="BK14" s="125">
        <v>28668.98</v>
      </c>
      <c r="BL14" s="15" t="s">
        <v>16</v>
      </c>
      <c r="BM14" s="4">
        <v>9</v>
      </c>
      <c r="BN14" s="125">
        <v>29723</v>
      </c>
      <c r="BO14" s="4" t="s">
        <v>17</v>
      </c>
      <c r="BP14" s="1">
        <v>9</v>
      </c>
      <c r="BQ14" s="124">
        <v>29668.98</v>
      </c>
      <c r="BR14" s="15" t="s">
        <v>18</v>
      </c>
      <c r="BS14" s="4">
        <v>9</v>
      </c>
      <c r="BT14" s="125">
        <v>25929.71</v>
      </c>
      <c r="BU14" s="15" t="s">
        <v>19</v>
      </c>
      <c r="BV14" s="4">
        <v>9</v>
      </c>
      <c r="BW14" s="125">
        <v>28297.05</v>
      </c>
      <c r="BX14" s="15" t="s">
        <v>20</v>
      </c>
      <c r="BY14" s="4">
        <v>9</v>
      </c>
      <c r="BZ14" s="125">
        <v>29152.33</v>
      </c>
      <c r="CD14"/>
    </row>
    <row r="15" spans="2:84" x14ac:dyDescent="0.2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P15" s="15" t="s">
        <v>0</v>
      </c>
      <c r="Q15" s="4">
        <v>10</v>
      </c>
      <c r="R15" s="124">
        <v>17732.88</v>
      </c>
      <c r="S15" s="15" t="s">
        <v>1</v>
      </c>
      <c r="T15" s="4">
        <v>10</v>
      </c>
      <c r="U15" s="125">
        <v>18780.52</v>
      </c>
      <c r="V15" s="4" t="s">
        <v>2</v>
      </c>
      <c r="W15" s="4">
        <v>10</v>
      </c>
      <c r="X15" s="125">
        <v>19963.95</v>
      </c>
      <c r="Y15" s="4" t="s">
        <v>3</v>
      </c>
      <c r="Z15" s="4">
        <v>10</v>
      </c>
      <c r="AA15" s="125">
        <v>19988.740000000002</v>
      </c>
      <c r="AB15" s="15" t="s">
        <v>4</v>
      </c>
      <c r="AC15" s="4">
        <v>10</v>
      </c>
      <c r="AD15" s="125">
        <v>21104.22</v>
      </c>
      <c r="AE15" s="15" t="s">
        <v>5</v>
      </c>
      <c r="AF15" s="4">
        <v>10</v>
      </c>
      <c r="AG15" s="125">
        <v>21525.599999999999</v>
      </c>
      <c r="AH15" s="15" t="s">
        <v>6</v>
      </c>
      <c r="AI15" s="4">
        <v>10</v>
      </c>
      <c r="AJ15" s="125">
        <v>23664</v>
      </c>
      <c r="AK15" s="15" t="s">
        <v>7</v>
      </c>
      <c r="AL15" s="4">
        <v>10</v>
      </c>
      <c r="AM15" s="125">
        <v>25364</v>
      </c>
      <c r="AN15" s="15" t="s">
        <v>8</v>
      </c>
      <c r="AO15" s="4">
        <v>10</v>
      </c>
      <c r="AP15" s="125">
        <v>23707.15</v>
      </c>
      <c r="AQ15" s="4" t="s">
        <v>9</v>
      </c>
      <c r="AR15" s="1">
        <v>10</v>
      </c>
      <c r="AS15" s="125">
        <v>25750.78</v>
      </c>
      <c r="AT15" s="15" t="s">
        <v>10</v>
      </c>
      <c r="AU15" s="4">
        <v>10</v>
      </c>
      <c r="AV15" s="125">
        <v>25739.81</v>
      </c>
      <c r="AW15" s="4" t="s">
        <v>11</v>
      </c>
      <c r="AX15" s="1">
        <v>10</v>
      </c>
      <c r="AY15" s="125">
        <v>27966.41</v>
      </c>
      <c r="AZ15" s="15" t="s">
        <v>12</v>
      </c>
      <c r="BA15" s="4">
        <v>10</v>
      </c>
      <c r="BB15" s="125">
        <v>26260.400000000001</v>
      </c>
      <c r="BC15" s="4" t="s">
        <v>13</v>
      </c>
      <c r="BD15" s="1">
        <v>10</v>
      </c>
      <c r="BE15" s="125">
        <v>28533.81</v>
      </c>
      <c r="BF15" s="15" t="s">
        <v>14</v>
      </c>
      <c r="BG15" s="4">
        <v>10</v>
      </c>
      <c r="BH15" s="125">
        <v>27028.89</v>
      </c>
      <c r="BI15" s="4" t="s">
        <v>15</v>
      </c>
      <c r="BJ15" s="1">
        <v>10</v>
      </c>
      <c r="BK15" s="125">
        <v>29371.52</v>
      </c>
      <c r="BL15" s="15" t="s">
        <v>16</v>
      </c>
      <c r="BM15" s="4">
        <v>10</v>
      </c>
      <c r="BN15" s="125">
        <v>29993</v>
      </c>
      <c r="BO15" s="4" t="s">
        <v>17</v>
      </c>
      <c r="BP15" s="1">
        <v>10</v>
      </c>
      <c r="BQ15" s="124">
        <v>30371.52</v>
      </c>
      <c r="BR15" s="15" t="s">
        <v>18</v>
      </c>
      <c r="BS15" s="4">
        <v>10</v>
      </c>
      <c r="BT15" s="125">
        <v>26549.45</v>
      </c>
      <c r="BU15" s="15" t="s">
        <v>19</v>
      </c>
      <c r="BV15" s="4">
        <v>10</v>
      </c>
      <c r="BW15" s="125">
        <v>28879.599999999999</v>
      </c>
      <c r="BX15" s="15" t="s">
        <v>20</v>
      </c>
      <c r="BY15" s="4">
        <v>10</v>
      </c>
      <c r="BZ15" s="125">
        <v>29747.279999999999</v>
      </c>
      <c r="CD15"/>
    </row>
    <row r="16" spans="2:84" x14ac:dyDescent="0.2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P16" s="15" t="s">
        <v>0</v>
      </c>
      <c r="Q16" s="4">
        <v>11</v>
      </c>
      <c r="R16" s="124">
        <v>17980.78</v>
      </c>
      <c r="S16" s="15" t="s">
        <v>1</v>
      </c>
      <c r="T16" s="4">
        <v>11</v>
      </c>
      <c r="U16" s="125">
        <v>19053.21</v>
      </c>
      <c r="V16" s="4" t="s">
        <v>2</v>
      </c>
      <c r="W16" s="4">
        <v>11</v>
      </c>
      <c r="X16" s="125">
        <v>20311.009999999998</v>
      </c>
      <c r="Y16" s="4" t="s">
        <v>3</v>
      </c>
      <c r="Z16" s="4">
        <v>11</v>
      </c>
      <c r="AA16" s="125">
        <v>20335.8</v>
      </c>
      <c r="AB16" s="15" t="s">
        <v>4</v>
      </c>
      <c r="AC16" s="4">
        <v>11</v>
      </c>
      <c r="AD16" s="125">
        <v>21488.46</v>
      </c>
      <c r="AE16" s="15" t="s">
        <v>5</v>
      </c>
      <c r="AF16" s="4">
        <v>11</v>
      </c>
      <c r="AG16" s="125">
        <v>21947.02</v>
      </c>
      <c r="AH16" s="15" t="s">
        <v>6</v>
      </c>
      <c r="AI16" s="4">
        <v>11</v>
      </c>
      <c r="AJ16" s="125">
        <v>23863</v>
      </c>
      <c r="AK16" s="15" t="s">
        <v>7</v>
      </c>
      <c r="AL16" s="4">
        <v>11</v>
      </c>
      <c r="AM16" s="125">
        <v>25563</v>
      </c>
      <c r="AN16" s="15" t="s">
        <v>8</v>
      </c>
      <c r="AO16" s="4">
        <v>11</v>
      </c>
      <c r="AP16" s="125">
        <v>24242.61</v>
      </c>
      <c r="AQ16" s="4" t="s">
        <v>9</v>
      </c>
      <c r="AR16" s="1">
        <v>11</v>
      </c>
      <c r="AS16" s="125">
        <v>26334.43</v>
      </c>
      <c r="AT16" s="15" t="s">
        <v>10</v>
      </c>
      <c r="AU16" s="4">
        <v>11</v>
      </c>
      <c r="AV16" s="125">
        <v>26305.01</v>
      </c>
      <c r="AW16" s="4" t="s">
        <v>11</v>
      </c>
      <c r="AX16" s="1">
        <v>11</v>
      </c>
      <c r="AY16" s="125">
        <v>28582.48</v>
      </c>
      <c r="AZ16" s="15" t="s">
        <v>12</v>
      </c>
      <c r="BA16" s="4">
        <v>11</v>
      </c>
      <c r="BB16" s="125">
        <v>26852.87</v>
      </c>
      <c r="BC16" s="4" t="s">
        <v>13</v>
      </c>
      <c r="BD16" s="1">
        <v>11</v>
      </c>
      <c r="BE16" s="125">
        <v>29179.599999999999</v>
      </c>
      <c r="BF16" s="15" t="s">
        <v>14</v>
      </c>
      <c r="BG16" s="4">
        <v>11</v>
      </c>
      <c r="BH16" s="125">
        <v>27673.42</v>
      </c>
      <c r="BI16" s="4" t="s">
        <v>15</v>
      </c>
      <c r="BJ16" s="1">
        <v>11</v>
      </c>
      <c r="BK16" s="125">
        <v>30074.06</v>
      </c>
      <c r="BL16" s="15" t="s">
        <v>16</v>
      </c>
      <c r="BM16" s="4">
        <v>11</v>
      </c>
      <c r="BN16" s="125">
        <v>30262</v>
      </c>
      <c r="BO16" s="4" t="s">
        <v>17</v>
      </c>
      <c r="BP16" s="1">
        <v>11</v>
      </c>
      <c r="BQ16" s="124">
        <v>31074.06</v>
      </c>
      <c r="BR16" s="15" t="s">
        <v>18</v>
      </c>
      <c r="BS16" s="4">
        <v>11</v>
      </c>
      <c r="BT16" s="125">
        <v>27169.19</v>
      </c>
      <c r="BU16" s="15" t="s">
        <v>19</v>
      </c>
      <c r="BV16" s="4">
        <v>11</v>
      </c>
      <c r="BW16" s="125">
        <v>29462.15</v>
      </c>
      <c r="BX16" s="15" t="s">
        <v>20</v>
      </c>
      <c r="BY16" s="4">
        <v>11</v>
      </c>
      <c r="BZ16" s="125">
        <v>30342.23</v>
      </c>
      <c r="CD16"/>
    </row>
    <row r="17" spans="2:82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P17" s="15" t="s">
        <v>0</v>
      </c>
      <c r="Q17" s="4">
        <v>12</v>
      </c>
      <c r="R17" s="124">
        <v>18228.68</v>
      </c>
      <c r="S17" s="15" t="s">
        <v>1</v>
      </c>
      <c r="T17" s="4">
        <v>12</v>
      </c>
      <c r="U17" s="125">
        <v>19325.900000000001</v>
      </c>
      <c r="V17" s="4" t="s">
        <v>2</v>
      </c>
      <c r="W17" s="4">
        <v>12</v>
      </c>
      <c r="X17" s="125">
        <v>20658.07</v>
      </c>
      <c r="Y17" s="4" t="s">
        <v>3</v>
      </c>
      <c r="Z17" s="4">
        <v>12</v>
      </c>
      <c r="AA17" s="125">
        <v>20682.86</v>
      </c>
      <c r="AB17" s="15" t="s">
        <v>4</v>
      </c>
      <c r="AC17" s="4">
        <v>12</v>
      </c>
      <c r="AD17" s="125">
        <v>21872.7</v>
      </c>
      <c r="AE17" s="15" t="s">
        <v>5</v>
      </c>
      <c r="AF17" s="4">
        <v>12</v>
      </c>
      <c r="AG17" s="125">
        <v>22368.44</v>
      </c>
      <c r="AH17" s="15" t="s">
        <v>6</v>
      </c>
      <c r="AI17" s="4">
        <v>12</v>
      </c>
      <c r="AJ17" s="125">
        <v>24063</v>
      </c>
      <c r="AK17" s="15" t="s">
        <v>7</v>
      </c>
      <c r="AL17" s="4">
        <v>12</v>
      </c>
      <c r="AM17" s="125">
        <v>25763</v>
      </c>
      <c r="AN17" s="15" t="s">
        <v>8</v>
      </c>
      <c r="AO17" s="4">
        <v>12</v>
      </c>
      <c r="AP17" s="125">
        <v>24778.07</v>
      </c>
      <c r="AQ17" s="4" t="s">
        <v>9</v>
      </c>
      <c r="AR17" s="1">
        <v>12</v>
      </c>
      <c r="AS17" s="125">
        <v>26918.080000000002</v>
      </c>
      <c r="AT17" s="15" t="s">
        <v>10</v>
      </c>
      <c r="AU17" s="4">
        <v>12</v>
      </c>
      <c r="AV17" s="125">
        <v>26870.21</v>
      </c>
      <c r="AW17" s="4" t="s">
        <v>11</v>
      </c>
      <c r="AX17" s="1">
        <v>12</v>
      </c>
      <c r="AY17" s="125">
        <v>29198.55</v>
      </c>
      <c r="AZ17" s="15" t="s">
        <v>12</v>
      </c>
      <c r="BA17" s="4">
        <v>12</v>
      </c>
      <c r="BB17" s="125">
        <v>27445.34</v>
      </c>
      <c r="BC17" s="4" t="s">
        <v>13</v>
      </c>
      <c r="BD17" s="1">
        <v>12</v>
      </c>
      <c r="BE17" s="125">
        <v>29825.39</v>
      </c>
      <c r="BF17" s="15" t="s">
        <v>14</v>
      </c>
      <c r="BG17" s="4">
        <v>12</v>
      </c>
      <c r="BH17" s="125">
        <v>28317.95</v>
      </c>
      <c r="BI17" s="4" t="s">
        <v>15</v>
      </c>
      <c r="BJ17" s="1">
        <v>12</v>
      </c>
      <c r="BK17" s="125">
        <v>30776.6</v>
      </c>
      <c r="BL17" s="15" t="s">
        <v>16</v>
      </c>
      <c r="BM17" s="4">
        <v>12</v>
      </c>
      <c r="BN17" s="125">
        <v>30532</v>
      </c>
      <c r="BO17" s="4" t="s">
        <v>17</v>
      </c>
      <c r="BP17" s="1">
        <v>12</v>
      </c>
      <c r="BQ17" s="124">
        <v>31776.6</v>
      </c>
      <c r="BR17" s="15" t="s">
        <v>18</v>
      </c>
      <c r="BS17" s="4">
        <v>12</v>
      </c>
      <c r="BT17" s="125">
        <v>27788.93</v>
      </c>
      <c r="BU17" s="15" t="s">
        <v>19</v>
      </c>
      <c r="BV17" s="4">
        <v>12</v>
      </c>
      <c r="BW17" s="125">
        <v>30044.7</v>
      </c>
      <c r="BX17" s="15" t="s">
        <v>20</v>
      </c>
      <c r="BY17" s="4">
        <v>12</v>
      </c>
      <c r="BZ17" s="125">
        <v>30937.18</v>
      </c>
      <c r="CD17"/>
    </row>
    <row r="18" spans="2:82" x14ac:dyDescent="0.2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P18" s="15" t="s">
        <v>0</v>
      </c>
      <c r="Q18" s="4">
        <v>13</v>
      </c>
      <c r="R18" s="124">
        <v>18656.580000000002</v>
      </c>
      <c r="S18" s="15" t="s">
        <v>1</v>
      </c>
      <c r="T18" s="4">
        <v>13</v>
      </c>
      <c r="U18" s="125">
        <v>19516.64</v>
      </c>
      <c r="V18" s="4" t="s">
        <v>2</v>
      </c>
      <c r="W18" s="4">
        <v>13</v>
      </c>
      <c r="X18" s="125">
        <v>21005.13</v>
      </c>
      <c r="Y18" s="4" t="s">
        <v>3</v>
      </c>
      <c r="Z18" s="4">
        <v>13</v>
      </c>
      <c r="AA18" s="125">
        <v>21029.919999999998</v>
      </c>
      <c r="AB18" s="15" t="s">
        <v>4</v>
      </c>
      <c r="AC18" s="4">
        <v>13</v>
      </c>
      <c r="AD18" s="125">
        <v>22256.94</v>
      </c>
      <c r="AE18" s="15" t="s">
        <v>5</v>
      </c>
      <c r="AF18" s="4">
        <v>13</v>
      </c>
      <c r="AG18" s="125">
        <v>22789.86</v>
      </c>
      <c r="AH18" s="15" t="s">
        <v>6</v>
      </c>
      <c r="AI18" s="4">
        <v>13</v>
      </c>
      <c r="AJ18" s="125">
        <v>24263</v>
      </c>
      <c r="AK18" s="15" t="s">
        <v>7</v>
      </c>
      <c r="AL18" s="4">
        <v>13</v>
      </c>
      <c r="AM18" s="125">
        <v>25963</v>
      </c>
      <c r="AN18" s="15" t="s">
        <v>8</v>
      </c>
      <c r="AO18" s="4">
        <v>13</v>
      </c>
      <c r="AP18" s="125">
        <v>25313.53</v>
      </c>
      <c r="AQ18" s="4" t="s">
        <v>9</v>
      </c>
      <c r="AR18" s="1">
        <v>13</v>
      </c>
      <c r="AS18" s="125">
        <v>27501.73</v>
      </c>
      <c r="AT18" s="15" t="s">
        <v>10</v>
      </c>
      <c r="AU18" s="4">
        <v>13</v>
      </c>
      <c r="AV18" s="125">
        <v>27435.41</v>
      </c>
      <c r="AW18" s="4" t="s">
        <v>11</v>
      </c>
      <c r="AX18" s="1">
        <v>13</v>
      </c>
      <c r="AY18" s="125">
        <v>29814.62</v>
      </c>
      <c r="AZ18" s="15" t="s">
        <v>12</v>
      </c>
      <c r="BA18" s="4">
        <v>13</v>
      </c>
      <c r="BB18" s="125">
        <v>28037.81</v>
      </c>
      <c r="BC18" s="4" t="s">
        <v>13</v>
      </c>
      <c r="BD18" s="1">
        <v>13</v>
      </c>
      <c r="BE18" s="125">
        <v>30471.18</v>
      </c>
      <c r="BF18" s="15" t="s">
        <v>14</v>
      </c>
      <c r="BG18" s="4">
        <v>13</v>
      </c>
      <c r="BH18" s="125">
        <v>28962.48</v>
      </c>
      <c r="BI18" s="4" t="s">
        <v>15</v>
      </c>
      <c r="BJ18" s="1">
        <v>13</v>
      </c>
      <c r="BK18" s="125">
        <v>31479.14</v>
      </c>
      <c r="BL18" s="15" t="s">
        <v>16</v>
      </c>
      <c r="BM18" s="4">
        <v>13</v>
      </c>
      <c r="BN18" s="125">
        <v>30802</v>
      </c>
      <c r="BO18" s="4" t="s">
        <v>17</v>
      </c>
      <c r="BP18" s="1">
        <v>13</v>
      </c>
      <c r="BQ18" s="124">
        <v>32479.14</v>
      </c>
      <c r="BR18" s="15" t="s">
        <v>18</v>
      </c>
      <c r="BS18" s="4">
        <v>13</v>
      </c>
      <c r="BT18" s="125">
        <v>28408.67</v>
      </c>
      <c r="BU18" s="15" t="s">
        <v>19</v>
      </c>
      <c r="BV18" s="4">
        <v>13</v>
      </c>
      <c r="BW18" s="125">
        <v>30627.25</v>
      </c>
      <c r="BX18" s="15" t="s">
        <v>20</v>
      </c>
      <c r="BY18" s="4">
        <v>13</v>
      </c>
      <c r="BZ18" s="125">
        <v>31532.13</v>
      </c>
      <c r="CD18"/>
    </row>
    <row r="19" spans="2:82" x14ac:dyDescent="0.2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P19" s="15" t="s">
        <v>0</v>
      </c>
      <c r="Q19" s="4">
        <v>14</v>
      </c>
      <c r="R19" s="124">
        <v>18792.93</v>
      </c>
      <c r="S19" s="15" t="s">
        <v>1</v>
      </c>
      <c r="T19" s="4">
        <v>14</v>
      </c>
      <c r="U19" s="125">
        <v>19567.330000000002</v>
      </c>
      <c r="V19" s="4" t="s">
        <v>2</v>
      </c>
      <c r="W19" s="4">
        <v>14</v>
      </c>
      <c r="X19" s="125">
        <v>21203.45</v>
      </c>
      <c r="Y19" s="4" t="s">
        <v>3</v>
      </c>
      <c r="Z19" s="4">
        <v>14</v>
      </c>
      <c r="AA19" s="125">
        <v>21228.240000000002</v>
      </c>
      <c r="AB19" s="15" t="s">
        <v>4</v>
      </c>
      <c r="AC19" s="4">
        <v>14</v>
      </c>
      <c r="AD19" s="125">
        <v>22504.84</v>
      </c>
      <c r="AE19" s="15" t="s">
        <v>5</v>
      </c>
      <c r="AF19" s="4">
        <v>14</v>
      </c>
      <c r="AG19" s="125">
        <v>23020.41</v>
      </c>
      <c r="AH19" s="15" t="s">
        <v>6</v>
      </c>
      <c r="AI19" s="4">
        <v>14</v>
      </c>
      <c r="AJ19" s="125">
        <v>24463</v>
      </c>
      <c r="AK19" s="15" t="s">
        <v>7</v>
      </c>
      <c r="AL19" s="4">
        <v>14</v>
      </c>
      <c r="AM19" s="125">
        <v>26163</v>
      </c>
      <c r="AN19" s="15" t="s">
        <v>8</v>
      </c>
      <c r="AO19" s="4">
        <v>14</v>
      </c>
      <c r="AP19" s="125">
        <v>25601.09</v>
      </c>
      <c r="AQ19" s="4" t="s">
        <v>9</v>
      </c>
      <c r="AR19" s="1">
        <v>14</v>
      </c>
      <c r="AS19" s="125">
        <v>27815.17</v>
      </c>
      <c r="AT19" s="15" t="s">
        <v>10</v>
      </c>
      <c r="AU19" s="4">
        <v>14</v>
      </c>
      <c r="AV19" s="125">
        <v>27740.32</v>
      </c>
      <c r="AW19" s="4" t="s">
        <v>11</v>
      </c>
      <c r="AX19" s="1">
        <v>14</v>
      </c>
      <c r="AY19" s="125">
        <v>30146.98</v>
      </c>
      <c r="AZ19" s="15" t="s">
        <v>12</v>
      </c>
      <c r="BA19" s="4">
        <v>14</v>
      </c>
      <c r="BB19" s="125">
        <v>28360.080000000002</v>
      </c>
      <c r="BC19" s="4" t="s">
        <v>13</v>
      </c>
      <c r="BD19" s="1">
        <v>14</v>
      </c>
      <c r="BE19" s="125">
        <v>30822.45</v>
      </c>
      <c r="BF19" s="15" t="s">
        <v>14</v>
      </c>
      <c r="BG19" s="4">
        <v>14</v>
      </c>
      <c r="BH19" s="125">
        <v>29309.54</v>
      </c>
      <c r="BI19" s="4" t="s">
        <v>15</v>
      </c>
      <c r="BJ19" s="1">
        <v>14</v>
      </c>
      <c r="BK19" s="125">
        <v>31857.43</v>
      </c>
      <c r="BL19" s="15" t="s">
        <v>16</v>
      </c>
      <c r="BM19" s="4">
        <v>14</v>
      </c>
      <c r="BN19" s="125">
        <v>31071</v>
      </c>
      <c r="BO19" s="4" t="s">
        <v>17</v>
      </c>
      <c r="BP19" s="1">
        <v>14</v>
      </c>
      <c r="BQ19" s="124">
        <v>32857.43</v>
      </c>
      <c r="BR19" s="15" t="s">
        <v>18</v>
      </c>
      <c r="BS19" s="4">
        <v>14</v>
      </c>
      <c r="BT19" s="125">
        <v>28755.73</v>
      </c>
      <c r="BU19" s="15" t="s">
        <v>19</v>
      </c>
      <c r="BV19" s="4">
        <v>14</v>
      </c>
      <c r="BW19" s="125">
        <v>30949.52</v>
      </c>
      <c r="BX19" s="15" t="s">
        <v>20</v>
      </c>
      <c r="BY19" s="4">
        <v>14</v>
      </c>
      <c r="BZ19" s="125">
        <v>31879.19</v>
      </c>
      <c r="CD19"/>
    </row>
    <row r="20" spans="2:8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P20" s="15" t="s">
        <v>0</v>
      </c>
      <c r="Q20" s="4">
        <v>15</v>
      </c>
      <c r="R20" s="124">
        <v>18929.28</v>
      </c>
      <c r="S20" s="15" t="s">
        <v>1</v>
      </c>
      <c r="T20" s="4">
        <v>15</v>
      </c>
      <c r="U20" s="125">
        <v>19716.07</v>
      </c>
      <c r="V20" s="4" t="s">
        <v>2</v>
      </c>
      <c r="W20" s="4">
        <v>15</v>
      </c>
      <c r="X20" s="125">
        <v>21401.77</v>
      </c>
      <c r="Y20" s="4" t="s">
        <v>3</v>
      </c>
      <c r="Z20" s="4">
        <v>15</v>
      </c>
      <c r="AA20" s="125">
        <v>21426.560000000001</v>
      </c>
      <c r="AB20" s="15" t="s">
        <v>4</v>
      </c>
      <c r="AC20" s="4">
        <v>15</v>
      </c>
      <c r="AD20" s="125">
        <v>22752.74</v>
      </c>
      <c r="AE20" s="15" t="s">
        <v>5</v>
      </c>
      <c r="AF20" s="4">
        <v>15</v>
      </c>
      <c r="AG20" s="125">
        <v>23250.959999999999</v>
      </c>
      <c r="AH20" s="15" t="s">
        <v>6</v>
      </c>
      <c r="AI20" s="4">
        <v>15</v>
      </c>
      <c r="AJ20" s="125">
        <v>24662</v>
      </c>
      <c r="AK20" s="15" t="s">
        <v>7</v>
      </c>
      <c r="AL20" s="4">
        <v>15</v>
      </c>
      <c r="AM20" s="125">
        <v>26362</v>
      </c>
      <c r="AN20" s="15" t="s">
        <v>8</v>
      </c>
      <c r="AO20" s="4">
        <v>15</v>
      </c>
      <c r="AP20" s="125">
        <v>25888.65</v>
      </c>
      <c r="AQ20" s="4" t="s">
        <v>9</v>
      </c>
      <c r="AR20" s="1">
        <v>15</v>
      </c>
      <c r="AS20" s="125">
        <v>28128.61</v>
      </c>
      <c r="AT20" s="15" t="s">
        <v>10</v>
      </c>
      <c r="AU20" s="4">
        <v>15</v>
      </c>
      <c r="AV20" s="125">
        <v>28045.23</v>
      </c>
      <c r="AW20" s="4" t="s">
        <v>11</v>
      </c>
      <c r="AX20" s="1">
        <v>15</v>
      </c>
      <c r="AY20" s="125">
        <v>30479.34</v>
      </c>
      <c r="AZ20" s="15" t="s">
        <v>12</v>
      </c>
      <c r="BA20" s="4">
        <v>15</v>
      </c>
      <c r="BB20" s="125">
        <v>28682.35</v>
      </c>
      <c r="BC20" s="4" t="s">
        <v>13</v>
      </c>
      <c r="BD20" s="1">
        <v>15</v>
      </c>
      <c r="BE20" s="125">
        <v>31173.72</v>
      </c>
      <c r="BF20" s="15" t="s">
        <v>14</v>
      </c>
      <c r="BG20" s="4">
        <v>15</v>
      </c>
      <c r="BH20" s="125">
        <v>29656.6</v>
      </c>
      <c r="BI20" s="4" t="s">
        <v>15</v>
      </c>
      <c r="BJ20" s="1">
        <v>15</v>
      </c>
      <c r="BK20" s="125">
        <v>32235.72</v>
      </c>
      <c r="BL20" s="15" t="s">
        <v>16</v>
      </c>
      <c r="BM20" s="4">
        <v>15</v>
      </c>
      <c r="BN20" s="125">
        <v>31341</v>
      </c>
      <c r="BO20" s="4" t="s">
        <v>17</v>
      </c>
      <c r="BP20" s="1">
        <v>15</v>
      </c>
      <c r="BQ20" s="124">
        <v>33235.72</v>
      </c>
      <c r="BR20" s="15" t="s">
        <v>18</v>
      </c>
      <c r="BS20" s="4">
        <v>15</v>
      </c>
      <c r="BT20" s="125">
        <v>29102.79</v>
      </c>
      <c r="BU20" s="15" t="s">
        <v>19</v>
      </c>
      <c r="BV20" s="4">
        <v>15</v>
      </c>
      <c r="BW20" s="125">
        <v>31271.79</v>
      </c>
      <c r="BX20" s="15" t="s">
        <v>20</v>
      </c>
      <c r="BY20" s="4">
        <v>15</v>
      </c>
      <c r="BZ20" s="125">
        <v>32226.25</v>
      </c>
      <c r="CD20"/>
    </row>
    <row r="21" spans="2:82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P21" s="15" t="s">
        <v>0</v>
      </c>
      <c r="Q21" s="4">
        <v>16</v>
      </c>
      <c r="R21" s="124">
        <v>19065.63</v>
      </c>
      <c r="S21" s="15" t="s">
        <v>1</v>
      </c>
      <c r="T21" s="4">
        <v>16</v>
      </c>
      <c r="U21" s="125">
        <v>19864.810000000001</v>
      </c>
      <c r="V21" s="4" t="s">
        <v>2</v>
      </c>
      <c r="W21" s="4">
        <v>16</v>
      </c>
      <c r="X21" s="125">
        <v>21590.17</v>
      </c>
      <c r="Y21" s="4" t="s">
        <v>3</v>
      </c>
      <c r="Z21" s="4">
        <v>16</v>
      </c>
      <c r="AA21" s="125">
        <v>21624.880000000001</v>
      </c>
      <c r="AB21" s="15" t="s">
        <v>4</v>
      </c>
      <c r="AC21" s="4">
        <v>16</v>
      </c>
      <c r="AD21" s="125">
        <v>23000.639999999999</v>
      </c>
      <c r="AE21" s="15" t="s">
        <v>5</v>
      </c>
      <c r="AF21" s="4">
        <v>16</v>
      </c>
      <c r="AG21" s="125">
        <v>23481.51</v>
      </c>
      <c r="AH21" s="15" t="s">
        <v>6</v>
      </c>
      <c r="AI21" s="4">
        <v>16</v>
      </c>
      <c r="AJ21" s="125">
        <v>24862</v>
      </c>
      <c r="AK21" s="15" t="s">
        <v>7</v>
      </c>
      <c r="AL21" s="4">
        <v>16</v>
      </c>
      <c r="AM21" s="125">
        <v>26562</v>
      </c>
      <c r="AN21" s="15" t="s">
        <v>8</v>
      </c>
      <c r="AO21" s="4">
        <v>16</v>
      </c>
      <c r="AP21" s="125">
        <v>26176.21</v>
      </c>
      <c r="AQ21" s="4" t="s">
        <v>9</v>
      </c>
      <c r="AR21" s="1">
        <v>16</v>
      </c>
      <c r="AS21" s="125">
        <v>28442.05</v>
      </c>
      <c r="AT21" s="15" t="s">
        <v>10</v>
      </c>
      <c r="AU21" s="4">
        <v>16</v>
      </c>
      <c r="AV21" s="125">
        <v>28350.14</v>
      </c>
      <c r="AW21" s="4" t="s">
        <v>11</v>
      </c>
      <c r="AX21" s="1">
        <v>16</v>
      </c>
      <c r="AY21" s="125">
        <v>30811.7</v>
      </c>
      <c r="AZ21" s="15" t="s">
        <v>12</v>
      </c>
      <c r="BA21" s="4">
        <v>16</v>
      </c>
      <c r="BB21" s="125">
        <v>29004.62</v>
      </c>
      <c r="BC21" s="4" t="s">
        <v>13</v>
      </c>
      <c r="BD21" s="1">
        <v>16</v>
      </c>
      <c r="BE21" s="125">
        <v>31524.99</v>
      </c>
      <c r="BF21" s="15" t="s">
        <v>14</v>
      </c>
      <c r="BG21" s="4">
        <v>16</v>
      </c>
      <c r="BH21" s="125">
        <v>30003.66</v>
      </c>
      <c r="BI21" s="4" t="s">
        <v>15</v>
      </c>
      <c r="BJ21" s="1">
        <v>16</v>
      </c>
      <c r="BK21" s="125">
        <v>32614.01</v>
      </c>
      <c r="BL21" s="15" t="s">
        <v>16</v>
      </c>
      <c r="BM21" s="4">
        <v>16</v>
      </c>
      <c r="BN21" s="125">
        <v>31610</v>
      </c>
      <c r="BO21" s="4" t="s">
        <v>17</v>
      </c>
      <c r="BP21" s="1">
        <v>16</v>
      </c>
      <c r="BQ21" s="124">
        <v>33614.01</v>
      </c>
      <c r="BR21" s="15" t="s">
        <v>18</v>
      </c>
      <c r="BS21" s="4">
        <v>16</v>
      </c>
      <c r="BT21" s="125">
        <v>29449.85</v>
      </c>
      <c r="BU21" s="15" t="s">
        <v>19</v>
      </c>
      <c r="BV21" s="4">
        <v>16</v>
      </c>
      <c r="BW21" s="125">
        <v>31594.06</v>
      </c>
      <c r="BX21" s="15" t="s">
        <v>20</v>
      </c>
      <c r="BY21" s="4">
        <v>16</v>
      </c>
      <c r="BZ21" s="124">
        <v>32548.52</v>
      </c>
      <c r="CD21"/>
    </row>
    <row r="22" spans="2:82" x14ac:dyDescent="0.2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P22" s="15" t="s">
        <v>0</v>
      </c>
      <c r="Q22" s="4">
        <v>17</v>
      </c>
      <c r="R22" s="124">
        <v>19201.98</v>
      </c>
      <c r="S22" s="15" t="s">
        <v>1</v>
      </c>
      <c r="T22" s="4">
        <v>17</v>
      </c>
      <c r="U22" s="125">
        <v>20013.55</v>
      </c>
      <c r="V22" s="4" t="s">
        <v>2</v>
      </c>
      <c r="W22" s="4">
        <v>17</v>
      </c>
      <c r="X22" s="125">
        <v>21778.57</v>
      </c>
      <c r="Y22" s="4" t="s">
        <v>3</v>
      </c>
      <c r="Z22" s="4">
        <v>17</v>
      </c>
      <c r="AA22" s="125">
        <v>21823.200000000001</v>
      </c>
      <c r="AB22" s="15" t="s">
        <v>4</v>
      </c>
      <c r="AC22" s="4">
        <v>17</v>
      </c>
      <c r="AD22" s="125">
        <v>23248.54</v>
      </c>
      <c r="AE22" s="15" t="s">
        <v>5</v>
      </c>
      <c r="AF22" s="4">
        <v>17</v>
      </c>
      <c r="AG22" s="125">
        <v>23712.06</v>
      </c>
      <c r="AH22" s="15" t="s">
        <v>6</v>
      </c>
      <c r="AI22" s="4">
        <v>17</v>
      </c>
      <c r="AJ22" s="125">
        <v>25062</v>
      </c>
      <c r="AK22" s="15" t="s">
        <v>7</v>
      </c>
      <c r="AL22" s="4">
        <v>17</v>
      </c>
      <c r="AM22" s="125">
        <v>26762</v>
      </c>
      <c r="AN22" s="15" t="s">
        <v>8</v>
      </c>
      <c r="AO22" s="4">
        <v>17</v>
      </c>
      <c r="AP22" s="125">
        <v>26463.77</v>
      </c>
      <c r="AQ22" s="4" t="s">
        <v>9</v>
      </c>
      <c r="AR22" s="1">
        <v>17</v>
      </c>
      <c r="AS22" s="125">
        <v>28755.49</v>
      </c>
      <c r="AT22" s="15" t="s">
        <v>10</v>
      </c>
      <c r="AU22" s="4">
        <v>17</v>
      </c>
      <c r="AV22" s="125">
        <v>28655.05</v>
      </c>
      <c r="AW22" s="4" t="s">
        <v>11</v>
      </c>
      <c r="AX22" s="1">
        <v>17</v>
      </c>
      <c r="AY22" s="125">
        <v>31144.06</v>
      </c>
      <c r="AZ22" s="15" t="s">
        <v>12</v>
      </c>
      <c r="BA22" s="4">
        <v>17</v>
      </c>
      <c r="BB22" s="125">
        <v>29326.89</v>
      </c>
      <c r="BC22" s="4" t="s">
        <v>13</v>
      </c>
      <c r="BD22" s="1">
        <v>17</v>
      </c>
      <c r="BE22" s="125">
        <v>31876.26</v>
      </c>
      <c r="BF22" s="15" t="s">
        <v>14</v>
      </c>
      <c r="BG22" s="4">
        <v>17</v>
      </c>
      <c r="BH22" s="125">
        <v>30350.720000000001</v>
      </c>
      <c r="BI22" s="4" t="s">
        <v>15</v>
      </c>
      <c r="BJ22" s="1">
        <v>17</v>
      </c>
      <c r="BK22" s="125">
        <v>32992.300000000003</v>
      </c>
      <c r="BL22" s="15" t="s">
        <v>16</v>
      </c>
      <c r="BM22" s="4">
        <v>17</v>
      </c>
      <c r="BN22" s="125">
        <v>31880</v>
      </c>
      <c r="BO22" s="4" t="s">
        <v>17</v>
      </c>
      <c r="BP22" s="1">
        <v>17</v>
      </c>
      <c r="BQ22" s="124">
        <v>33992.300000000003</v>
      </c>
      <c r="BR22" s="15" t="s">
        <v>18</v>
      </c>
      <c r="BS22" s="4">
        <v>17</v>
      </c>
      <c r="BT22" s="125">
        <v>29796.91</v>
      </c>
      <c r="BU22" s="15" t="s">
        <v>19</v>
      </c>
      <c r="BV22" s="4">
        <v>17</v>
      </c>
      <c r="BW22" s="125">
        <v>31916.33</v>
      </c>
      <c r="BX22" s="15" t="s">
        <v>20</v>
      </c>
      <c r="BY22" s="4">
        <v>17</v>
      </c>
      <c r="BZ22" s="125">
        <v>32870.79</v>
      </c>
      <c r="CD22"/>
    </row>
    <row r="23" spans="2:82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P23" s="15" t="s">
        <v>0</v>
      </c>
      <c r="Q23" s="4">
        <v>18</v>
      </c>
      <c r="R23" s="124">
        <v>19338.330000000002</v>
      </c>
      <c r="S23" s="15" t="s">
        <v>1</v>
      </c>
      <c r="T23" s="4">
        <v>18</v>
      </c>
      <c r="U23" s="125">
        <v>20162.29</v>
      </c>
      <c r="V23" s="4" t="s">
        <v>2</v>
      </c>
      <c r="W23" s="4">
        <v>18</v>
      </c>
      <c r="X23" s="125">
        <v>21966.97</v>
      </c>
      <c r="Y23" s="4" t="s">
        <v>3</v>
      </c>
      <c r="Z23" s="4">
        <v>18</v>
      </c>
      <c r="AA23" s="125">
        <v>22021.52</v>
      </c>
      <c r="AB23" s="15" t="s">
        <v>4</v>
      </c>
      <c r="AC23" s="4">
        <v>18</v>
      </c>
      <c r="AD23" s="125">
        <v>23496.44</v>
      </c>
      <c r="AE23" s="15" t="s">
        <v>5</v>
      </c>
      <c r="AF23" s="4">
        <v>18</v>
      </c>
      <c r="AG23" s="125">
        <v>23942.61</v>
      </c>
      <c r="AH23" s="15" t="s">
        <v>6</v>
      </c>
      <c r="AI23" s="4">
        <v>18</v>
      </c>
      <c r="AJ23" s="125">
        <v>25262</v>
      </c>
      <c r="AK23" s="15" t="s">
        <v>7</v>
      </c>
      <c r="AL23" s="4">
        <v>18</v>
      </c>
      <c r="AM23" s="125">
        <v>26962</v>
      </c>
      <c r="AN23" s="15" t="s">
        <v>8</v>
      </c>
      <c r="AO23" s="4">
        <v>18</v>
      </c>
      <c r="AP23" s="125">
        <v>26751.33</v>
      </c>
      <c r="AQ23" s="4" t="s">
        <v>9</v>
      </c>
      <c r="AR23" s="1">
        <v>18</v>
      </c>
      <c r="AS23" s="125">
        <v>29068.93</v>
      </c>
      <c r="AT23" s="15" t="s">
        <v>10</v>
      </c>
      <c r="AU23" s="4">
        <v>18</v>
      </c>
      <c r="AV23" s="125">
        <v>28959.96</v>
      </c>
      <c r="AW23" s="4" t="s">
        <v>11</v>
      </c>
      <c r="AX23" s="1">
        <v>18</v>
      </c>
      <c r="AY23" s="125">
        <v>31476.42</v>
      </c>
      <c r="AZ23" s="15" t="s">
        <v>12</v>
      </c>
      <c r="BA23" s="4">
        <v>18</v>
      </c>
      <c r="BB23" s="125">
        <v>29649.16</v>
      </c>
      <c r="BC23" s="4" t="s">
        <v>13</v>
      </c>
      <c r="BD23" s="1">
        <v>18</v>
      </c>
      <c r="BE23" s="125">
        <v>32227.53</v>
      </c>
      <c r="BF23" s="15" t="s">
        <v>14</v>
      </c>
      <c r="BG23" s="4">
        <v>18</v>
      </c>
      <c r="BH23" s="125">
        <v>30697.78</v>
      </c>
      <c r="BI23" s="4" t="s">
        <v>15</v>
      </c>
      <c r="BJ23" s="1">
        <v>18</v>
      </c>
      <c r="BK23" s="125">
        <v>33370.589999999997</v>
      </c>
      <c r="BL23" s="15" t="s">
        <v>16</v>
      </c>
      <c r="BM23" s="4">
        <v>18</v>
      </c>
      <c r="BN23" s="125">
        <v>32150</v>
      </c>
      <c r="BO23" s="4" t="s">
        <v>17</v>
      </c>
      <c r="BP23" s="1">
        <v>18</v>
      </c>
      <c r="BQ23" s="124">
        <v>34370.589999999997</v>
      </c>
      <c r="BR23" s="15" t="s">
        <v>18</v>
      </c>
      <c r="BS23" s="4">
        <v>18</v>
      </c>
      <c r="BT23" s="125">
        <v>30143.97</v>
      </c>
      <c r="BU23" s="15" t="s">
        <v>19</v>
      </c>
      <c r="BV23" s="4">
        <v>18</v>
      </c>
      <c r="BW23" s="125">
        <v>32238.6</v>
      </c>
      <c r="BX23" s="15" t="s">
        <v>20</v>
      </c>
      <c r="BY23" s="4">
        <v>18</v>
      </c>
      <c r="BZ23" s="125">
        <v>33193.06</v>
      </c>
      <c r="CD23"/>
    </row>
    <row r="24" spans="2:82" x14ac:dyDescent="0.2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P24" s="15" t="s">
        <v>0</v>
      </c>
      <c r="Q24" s="4">
        <v>19</v>
      </c>
      <c r="R24" s="124">
        <v>19474.68</v>
      </c>
      <c r="S24" s="15" t="s">
        <v>1</v>
      </c>
      <c r="T24" s="4">
        <v>19</v>
      </c>
      <c r="U24" s="125">
        <v>20311.03</v>
      </c>
      <c r="V24" s="4" t="s">
        <v>2</v>
      </c>
      <c r="W24" s="4">
        <v>19</v>
      </c>
      <c r="X24" s="125">
        <v>22155.37</v>
      </c>
      <c r="Y24" s="4" t="s">
        <v>3</v>
      </c>
      <c r="Z24" s="4">
        <v>19</v>
      </c>
      <c r="AA24" s="125">
        <v>22219.84</v>
      </c>
      <c r="AB24" s="15" t="s">
        <v>4</v>
      </c>
      <c r="AC24" s="4">
        <v>19</v>
      </c>
      <c r="AD24" s="125">
        <v>23744.34</v>
      </c>
      <c r="AE24" s="15" t="s">
        <v>5</v>
      </c>
      <c r="AF24" s="4">
        <v>19</v>
      </c>
      <c r="AG24" s="125">
        <v>24173.16</v>
      </c>
      <c r="AH24" s="15" t="s">
        <v>6</v>
      </c>
      <c r="AI24" s="4">
        <v>19</v>
      </c>
      <c r="AJ24" s="125">
        <v>25461</v>
      </c>
      <c r="AK24" s="15" t="s">
        <v>7</v>
      </c>
      <c r="AL24" s="4">
        <v>19</v>
      </c>
      <c r="AM24" s="125">
        <v>27161</v>
      </c>
      <c r="AN24" s="15" t="s">
        <v>8</v>
      </c>
      <c r="AO24" s="4">
        <v>19</v>
      </c>
      <c r="AP24" s="125">
        <v>27038.89</v>
      </c>
      <c r="AQ24" s="4" t="s">
        <v>9</v>
      </c>
      <c r="AR24" s="1">
        <v>19</v>
      </c>
      <c r="AS24" s="125">
        <v>29382.37</v>
      </c>
      <c r="AT24" s="15" t="s">
        <v>10</v>
      </c>
      <c r="AU24" s="4">
        <v>19</v>
      </c>
      <c r="AV24" s="125">
        <v>29264.87</v>
      </c>
      <c r="AW24" s="4" t="s">
        <v>11</v>
      </c>
      <c r="AX24" s="1">
        <v>19</v>
      </c>
      <c r="AY24" s="125">
        <v>31808.78</v>
      </c>
      <c r="AZ24" s="15" t="s">
        <v>12</v>
      </c>
      <c r="BA24" s="4">
        <v>19</v>
      </c>
      <c r="BB24" s="125">
        <v>29971.43</v>
      </c>
      <c r="BC24" s="4" t="s">
        <v>13</v>
      </c>
      <c r="BD24" s="1">
        <v>19</v>
      </c>
      <c r="BE24" s="125">
        <v>32578.799999999999</v>
      </c>
      <c r="BF24" s="15" t="s">
        <v>14</v>
      </c>
      <c r="BG24" s="4">
        <v>19</v>
      </c>
      <c r="BH24" s="125">
        <v>31044.84</v>
      </c>
      <c r="BI24" s="4" t="s">
        <v>15</v>
      </c>
      <c r="BJ24" s="1">
        <v>19</v>
      </c>
      <c r="BK24" s="125">
        <v>33748.879999999997</v>
      </c>
      <c r="BL24" s="15" t="s">
        <v>16</v>
      </c>
      <c r="BM24" s="4">
        <v>19</v>
      </c>
      <c r="BN24" s="125">
        <v>32419</v>
      </c>
      <c r="BO24" s="4" t="s">
        <v>17</v>
      </c>
      <c r="BP24" s="1">
        <v>19</v>
      </c>
      <c r="BQ24" s="124">
        <v>34748.879999999997</v>
      </c>
      <c r="BR24" s="15" t="s">
        <v>18</v>
      </c>
      <c r="BS24" s="4">
        <v>19</v>
      </c>
      <c r="BT24" s="125">
        <v>30491.03</v>
      </c>
      <c r="BU24" s="15" t="s">
        <v>19</v>
      </c>
      <c r="BV24" s="4">
        <v>19</v>
      </c>
      <c r="BW24" s="125">
        <v>32560.87</v>
      </c>
      <c r="BX24" s="15" t="s">
        <v>20</v>
      </c>
      <c r="BY24" s="4">
        <v>19</v>
      </c>
      <c r="BZ24" s="125">
        <v>33515.33</v>
      </c>
      <c r="CD24"/>
    </row>
    <row r="25" spans="2:82" x14ac:dyDescent="0.2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P25" s="15" t="s">
        <v>0</v>
      </c>
      <c r="Q25" s="4">
        <v>20</v>
      </c>
      <c r="R25" s="124">
        <v>19517.57</v>
      </c>
      <c r="S25" s="15" t="s">
        <v>1</v>
      </c>
      <c r="T25" s="4">
        <v>20</v>
      </c>
      <c r="U25" s="125">
        <v>20459.77</v>
      </c>
      <c r="V25" s="4" t="s">
        <v>2</v>
      </c>
      <c r="W25" s="4">
        <v>20</v>
      </c>
      <c r="X25" s="125">
        <v>22343.77</v>
      </c>
      <c r="Y25" s="4" t="s">
        <v>3</v>
      </c>
      <c r="Z25" s="4">
        <v>20</v>
      </c>
      <c r="AA25" s="125">
        <v>22418.16</v>
      </c>
      <c r="AB25" s="15" t="s">
        <v>4</v>
      </c>
      <c r="AC25" s="4">
        <v>20</v>
      </c>
      <c r="AD25" s="125">
        <v>23992.240000000002</v>
      </c>
      <c r="AE25" s="15" t="s">
        <v>5</v>
      </c>
      <c r="AF25" s="4">
        <v>20</v>
      </c>
      <c r="AG25" s="125">
        <v>24403.71</v>
      </c>
      <c r="AH25" s="15" t="s">
        <v>6</v>
      </c>
      <c r="AI25" s="4">
        <v>20</v>
      </c>
      <c r="AJ25" s="125">
        <v>25661</v>
      </c>
      <c r="AK25" s="15" t="s">
        <v>7</v>
      </c>
      <c r="AL25" s="4">
        <v>20</v>
      </c>
      <c r="AM25" s="125">
        <v>27361</v>
      </c>
      <c r="AN25" s="15" t="s">
        <v>8</v>
      </c>
      <c r="AO25" s="4">
        <v>20</v>
      </c>
      <c r="AP25" s="125">
        <v>27326.45</v>
      </c>
      <c r="AQ25" s="4" t="s">
        <v>9</v>
      </c>
      <c r="AR25" s="1">
        <v>20</v>
      </c>
      <c r="AS25" s="125">
        <v>29695.81</v>
      </c>
      <c r="AT25" s="15" t="s">
        <v>10</v>
      </c>
      <c r="AU25" s="4">
        <v>20</v>
      </c>
      <c r="AV25" s="125">
        <v>29569.78</v>
      </c>
      <c r="AW25" s="4" t="s">
        <v>11</v>
      </c>
      <c r="AX25" s="1">
        <v>20</v>
      </c>
      <c r="AY25" s="125">
        <v>32141.14</v>
      </c>
      <c r="AZ25" s="15" t="s">
        <v>12</v>
      </c>
      <c r="BA25" s="4">
        <v>20</v>
      </c>
      <c r="BB25" s="125">
        <v>30293.7</v>
      </c>
      <c r="BC25" s="4" t="s">
        <v>13</v>
      </c>
      <c r="BD25" s="1">
        <v>20</v>
      </c>
      <c r="BE25" s="125">
        <v>32930.07</v>
      </c>
      <c r="BF25" s="15" t="s">
        <v>14</v>
      </c>
      <c r="BG25" s="4">
        <v>20</v>
      </c>
      <c r="BH25" s="125">
        <v>31391.9</v>
      </c>
      <c r="BI25" s="4" t="s">
        <v>15</v>
      </c>
      <c r="BJ25" s="1">
        <v>20</v>
      </c>
      <c r="BK25" s="125">
        <v>34127.17</v>
      </c>
      <c r="BL25" s="15" t="s">
        <v>16</v>
      </c>
      <c r="BM25" s="4">
        <v>20</v>
      </c>
      <c r="BN25" s="125">
        <v>32689</v>
      </c>
      <c r="BO25" s="4" t="s">
        <v>17</v>
      </c>
      <c r="BP25" s="1">
        <v>20</v>
      </c>
      <c r="BQ25" s="124">
        <v>35127.17</v>
      </c>
      <c r="BR25" s="15" t="s">
        <v>18</v>
      </c>
      <c r="BS25" s="4">
        <v>20</v>
      </c>
      <c r="BT25" s="125">
        <v>30838.09</v>
      </c>
      <c r="BU25" s="15" t="s">
        <v>19</v>
      </c>
      <c r="BV25" s="4">
        <v>20</v>
      </c>
      <c r="BW25" s="125">
        <v>32883.14</v>
      </c>
      <c r="BX25" s="15" t="s">
        <v>20</v>
      </c>
      <c r="BY25" s="4">
        <v>20</v>
      </c>
      <c r="BZ25" s="125">
        <v>33837.599999999999</v>
      </c>
      <c r="CD25"/>
    </row>
    <row r="26" spans="2:82" x14ac:dyDescent="0.2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P26" s="15" t="s">
        <v>0</v>
      </c>
      <c r="Q26" s="4">
        <v>21</v>
      </c>
      <c r="R26" s="124">
        <v>19567.38</v>
      </c>
      <c r="S26" s="15" t="s">
        <v>1</v>
      </c>
      <c r="T26" s="4">
        <v>21</v>
      </c>
      <c r="U26" s="125">
        <v>20608.509999999998</v>
      </c>
      <c r="V26" s="4" t="s">
        <v>2</v>
      </c>
      <c r="W26" s="4">
        <v>21</v>
      </c>
      <c r="X26" s="125">
        <v>22532.17</v>
      </c>
      <c r="Y26" s="4" t="s">
        <v>3</v>
      </c>
      <c r="Z26" s="4">
        <v>21</v>
      </c>
      <c r="AA26" s="125">
        <v>22616.48</v>
      </c>
      <c r="AB26" s="15" t="s">
        <v>4</v>
      </c>
      <c r="AC26" s="4">
        <v>21</v>
      </c>
      <c r="AD26" s="125">
        <v>24153.38</v>
      </c>
      <c r="AE26" s="15" t="s">
        <v>5</v>
      </c>
      <c r="AF26" s="4">
        <v>21</v>
      </c>
      <c r="AG26" s="125">
        <v>24634.26</v>
      </c>
      <c r="AH26" s="15" t="s">
        <v>6</v>
      </c>
      <c r="AI26" s="4">
        <v>21</v>
      </c>
      <c r="AJ26" s="125">
        <v>25861</v>
      </c>
      <c r="AK26" s="15" t="s">
        <v>7</v>
      </c>
      <c r="AL26" s="4">
        <v>21</v>
      </c>
      <c r="AM26" s="125">
        <v>27561</v>
      </c>
      <c r="AN26" s="15" t="s">
        <v>8</v>
      </c>
      <c r="AO26" s="4">
        <v>21</v>
      </c>
      <c r="AP26" s="125">
        <v>27614.02</v>
      </c>
      <c r="AQ26" s="4" t="s">
        <v>9</v>
      </c>
      <c r="AR26" s="1">
        <v>21</v>
      </c>
      <c r="AS26" s="125">
        <v>30009.25</v>
      </c>
      <c r="AT26" s="15" t="s">
        <v>10</v>
      </c>
      <c r="AU26" s="4">
        <v>21</v>
      </c>
      <c r="AV26" s="125">
        <v>29874.69</v>
      </c>
      <c r="AW26" s="4" t="s">
        <v>11</v>
      </c>
      <c r="AX26" s="1">
        <v>21</v>
      </c>
      <c r="AY26" s="125">
        <v>32473.5</v>
      </c>
      <c r="AZ26" s="15" t="s">
        <v>12</v>
      </c>
      <c r="BA26" s="4">
        <v>21</v>
      </c>
      <c r="BB26" s="125">
        <v>30615.97</v>
      </c>
      <c r="BC26" s="4" t="s">
        <v>13</v>
      </c>
      <c r="BD26" s="1">
        <v>21</v>
      </c>
      <c r="BE26" s="125">
        <v>33281.339999999997</v>
      </c>
      <c r="BF26" s="15" t="s">
        <v>14</v>
      </c>
      <c r="BG26" s="4">
        <v>21</v>
      </c>
      <c r="BH26" s="125">
        <v>31738.959999999999</v>
      </c>
      <c r="BI26" s="4" t="s">
        <v>15</v>
      </c>
      <c r="BJ26" s="1">
        <v>21</v>
      </c>
      <c r="BK26" s="125">
        <v>34505.46</v>
      </c>
      <c r="BL26" s="15" t="s">
        <v>16</v>
      </c>
      <c r="BM26" s="4">
        <v>21</v>
      </c>
      <c r="BN26" s="125">
        <v>32959</v>
      </c>
      <c r="BO26" s="4" t="s">
        <v>17</v>
      </c>
      <c r="BP26" s="1">
        <v>21</v>
      </c>
      <c r="BQ26" s="124">
        <v>35505.46</v>
      </c>
      <c r="BR26" s="15" t="s">
        <v>18</v>
      </c>
      <c r="BS26" s="4">
        <v>21</v>
      </c>
      <c r="BT26" s="125">
        <v>31185.15</v>
      </c>
      <c r="BU26" s="15" t="s">
        <v>19</v>
      </c>
      <c r="BV26" s="4">
        <v>21</v>
      </c>
      <c r="BW26" s="125">
        <v>33205.410000000003</v>
      </c>
      <c r="BX26" s="15" t="s">
        <v>20</v>
      </c>
      <c r="BY26" s="4">
        <v>21</v>
      </c>
      <c r="BZ26" s="125">
        <v>34159.870000000003</v>
      </c>
      <c r="CD26"/>
    </row>
    <row r="27" spans="2:82" x14ac:dyDescent="0.2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P27" s="15" t="s">
        <v>0</v>
      </c>
      <c r="Q27" s="4">
        <v>22</v>
      </c>
      <c r="R27" s="124">
        <v>19703.73</v>
      </c>
      <c r="S27" s="15" t="s">
        <v>1</v>
      </c>
      <c r="T27" s="4">
        <v>22</v>
      </c>
      <c r="U27" s="125">
        <v>20757.25</v>
      </c>
      <c r="V27" s="4" t="s">
        <v>2</v>
      </c>
      <c r="W27" s="4">
        <v>22</v>
      </c>
      <c r="X27" s="125">
        <v>22720.57</v>
      </c>
      <c r="Y27" s="4" t="s">
        <v>3</v>
      </c>
      <c r="Z27" s="4">
        <v>22</v>
      </c>
      <c r="AA27" s="125">
        <v>22814.799999999999</v>
      </c>
      <c r="AB27" s="15" t="s">
        <v>4</v>
      </c>
      <c r="AC27" s="4">
        <v>22</v>
      </c>
      <c r="AD27" s="125">
        <v>24314.52</v>
      </c>
      <c r="AE27" s="15" t="s">
        <v>5</v>
      </c>
      <c r="AF27" s="4">
        <v>22</v>
      </c>
      <c r="AG27" s="125">
        <v>24864.81</v>
      </c>
      <c r="AH27" s="15" t="s">
        <v>6</v>
      </c>
      <c r="AI27" s="4">
        <v>22</v>
      </c>
      <c r="AJ27" s="125">
        <v>26087</v>
      </c>
      <c r="AK27" s="15" t="s">
        <v>7</v>
      </c>
      <c r="AL27" s="4">
        <v>22</v>
      </c>
      <c r="AM27" s="125">
        <v>27761</v>
      </c>
      <c r="AN27" s="15" t="s">
        <v>8</v>
      </c>
      <c r="AO27" s="4">
        <v>22</v>
      </c>
      <c r="AP27" s="125">
        <v>27901.57</v>
      </c>
      <c r="AQ27" s="4" t="s">
        <v>9</v>
      </c>
      <c r="AR27" s="1">
        <v>22</v>
      </c>
      <c r="AS27" s="125">
        <v>30322.69</v>
      </c>
      <c r="AT27" s="15" t="s">
        <v>10</v>
      </c>
      <c r="AU27" s="4">
        <v>22</v>
      </c>
      <c r="AV27" s="125">
        <v>30179.599999999999</v>
      </c>
      <c r="AW27" s="4" t="s">
        <v>11</v>
      </c>
      <c r="AX27" s="1">
        <v>22</v>
      </c>
      <c r="AY27" s="125">
        <v>32805.86</v>
      </c>
      <c r="AZ27" s="15" t="s">
        <v>12</v>
      </c>
      <c r="BA27" s="4">
        <v>22</v>
      </c>
      <c r="BB27" s="125">
        <v>30938.240000000002</v>
      </c>
      <c r="BC27" s="4" t="s">
        <v>13</v>
      </c>
      <c r="BD27" s="1">
        <v>22</v>
      </c>
      <c r="BE27" s="125">
        <v>33632.61</v>
      </c>
      <c r="BF27" s="15" t="s">
        <v>14</v>
      </c>
      <c r="BG27" s="4">
        <v>22</v>
      </c>
      <c r="BH27" s="125">
        <v>32086.02</v>
      </c>
      <c r="BI27" s="4" t="s">
        <v>15</v>
      </c>
      <c r="BJ27" s="1">
        <v>22</v>
      </c>
      <c r="BK27" s="125">
        <v>34883.75</v>
      </c>
      <c r="BL27" s="15" t="s">
        <v>16</v>
      </c>
      <c r="BM27" s="4">
        <v>22</v>
      </c>
      <c r="BN27" s="125">
        <v>33228</v>
      </c>
      <c r="BO27" s="4" t="s">
        <v>17</v>
      </c>
      <c r="BP27" s="1">
        <v>22</v>
      </c>
      <c r="BQ27" s="124">
        <v>35883.75</v>
      </c>
      <c r="BR27" s="15" t="s">
        <v>18</v>
      </c>
      <c r="BS27" s="4">
        <v>22</v>
      </c>
      <c r="BT27" s="125">
        <v>31532.21</v>
      </c>
      <c r="BU27" s="15" t="s">
        <v>19</v>
      </c>
      <c r="BV27" s="4">
        <v>22</v>
      </c>
      <c r="BW27" s="125">
        <v>33527.68</v>
      </c>
      <c r="BX27" s="15" t="s">
        <v>20</v>
      </c>
      <c r="BY27" s="4">
        <v>22</v>
      </c>
      <c r="BZ27" s="125">
        <v>34482.14</v>
      </c>
      <c r="CD27"/>
    </row>
    <row r="28" spans="2:82" x14ac:dyDescent="0.2">
      <c r="P28" s="15" t="s">
        <v>0</v>
      </c>
      <c r="Q28" s="4">
        <v>23</v>
      </c>
      <c r="R28" s="124">
        <v>19840.080000000002</v>
      </c>
      <c r="S28" s="15" t="s">
        <v>1</v>
      </c>
      <c r="T28" s="4">
        <v>23</v>
      </c>
      <c r="U28" s="125">
        <v>20905.990000000002</v>
      </c>
      <c r="V28" s="4" t="s">
        <v>2</v>
      </c>
      <c r="W28" s="4">
        <v>23</v>
      </c>
      <c r="X28" s="125">
        <v>22908.97</v>
      </c>
      <c r="Y28" s="4" t="s">
        <v>3</v>
      </c>
      <c r="Z28" s="4">
        <v>23</v>
      </c>
      <c r="AA28" s="125">
        <v>23013.119999999999</v>
      </c>
      <c r="AB28" s="15" t="s">
        <v>4</v>
      </c>
      <c r="AC28" s="4">
        <v>23</v>
      </c>
      <c r="AD28" s="125">
        <v>24475.66</v>
      </c>
      <c r="AE28" s="15" t="s">
        <v>5</v>
      </c>
      <c r="AF28" s="4">
        <v>23</v>
      </c>
      <c r="AG28" s="125">
        <v>25095.360000000001</v>
      </c>
      <c r="AH28" s="15" t="s">
        <v>6</v>
      </c>
      <c r="AI28" s="4">
        <v>23</v>
      </c>
      <c r="AJ28" s="125">
        <v>26335</v>
      </c>
      <c r="AK28" s="15" t="s">
        <v>7</v>
      </c>
      <c r="AL28" s="4">
        <v>23</v>
      </c>
      <c r="AM28" s="125">
        <v>27960</v>
      </c>
      <c r="AN28" s="15" t="s">
        <v>8</v>
      </c>
      <c r="AO28" s="4">
        <v>23</v>
      </c>
      <c r="AP28" s="125">
        <v>28189.13</v>
      </c>
      <c r="AQ28" s="4" t="s">
        <v>9</v>
      </c>
      <c r="AR28" s="1">
        <v>23</v>
      </c>
      <c r="AS28" s="125">
        <v>30636.13</v>
      </c>
      <c r="AT28" s="15" t="s">
        <v>10</v>
      </c>
      <c r="AU28" s="4">
        <v>23</v>
      </c>
      <c r="AV28" s="125">
        <v>30484.51</v>
      </c>
      <c r="AW28" s="4" t="s">
        <v>11</v>
      </c>
      <c r="AX28" s="1">
        <v>23</v>
      </c>
      <c r="AY28" s="125">
        <v>33138.22</v>
      </c>
      <c r="AZ28" s="15" t="s">
        <v>12</v>
      </c>
      <c r="BA28" s="4">
        <v>23</v>
      </c>
      <c r="BB28" s="125">
        <v>31260.51</v>
      </c>
      <c r="BC28" s="4" t="s">
        <v>13</v>
      </c>
      <c r="BD28" s="1">
        <v>23</v>
      </c>
      <c r="BE28" s="125">
        <v>33983.879999999997</v>
      </c>
      <c r="BF28" s="15" t="s">
        <v>14</v>
      </c>
      <c r="BG28" s="4">
        <v>23</v>
      </c>
      <c r="BH28" s="125">
        <v>32433.08</v>
      </c>
      <c r="BI28" s="4" t="s">
        <v>15</v>
      </c>
      <c r="BJ28" s="1">
        <v>23</v>
      </c>
      <c r="BK28" s="125">
        <v>35262.04</v>
      </c>
      <c r="BL28" s="15" t="s">
        <v>16</v>
      </c>
      <c r="BM28" s="4">
        <v>23</v>
      </c>
      <c r="BN28" s="125">
        <v>33498</v>
      </c>
      <c r="BO28" s="4" t="s">
        <v>17</v>
      </c>
      <c r="BP28" s="1">
        <v>23</v>
      </c>
      <c r="BQ28" s="124">
        <v>36262.04</v>
      </c>
      <c r="BR28" s="15" t="s">
        <v>18</v>
      </c>
      <c r="BS28" s="4">
        <v>23</v>
      </c>
      <c r="BT28" s="125">
        <v>31879.27</v>
      </c>
      <c r="BU28" s="15" t="s">
        <v>19</v>
      </c>
      <c r="BV28" s="4">
        <v>23</v>
      </c>
      <c r="BW28" s="125">
        <v>33849.949999999997</v>
      </c>
      <c r="BX28" s="15" t="s">
        <v>20</v>
      </c>
      <c r="BY28" s="4">
        <v>23</v>
      </c>
      <c r="BZ28" s="125">
        <v>34804.410000000003</v>
      </c>
      <c r="CD28"/>
    </row>
    <row r="29" spans="2:82" x14ac:dyDescent="0.2">
      <c r="P29" s="15" t="s">
        <v>0</v>
      </c>
      <c r="Q29" s="4">
        <v>24</v>
      </c>
      <c r="R29" s="124">
        <v>19964.03</v>
      </c>
      <c r="S29" s="15" t="s">
        <v>1</v>
      </c>
      <c r="T29" s="4">
        <v>24</v>
      </c>
      <c r="U29" s="125">
        <v>21054.73</v>
      </c>
      <c r="V29" s="4" t="s">
        <v>2</v>
      </c>
      <c r="W29" s="4">
        <v>24</v>
      </c>
      <c r="X29" s="125">
        <v>23097.37</v>
      </c>
      <c r="Y29" s="4" t="s">
        <v>3</v>
      </c>
      <c r="Z29" s="4">
        <v>24</v>
      </c>
      <c r="AA29" s="125">
        <v>23149.47</v>
      </c>
      <c r="AB29" s="15" t="s">
        <v>4</v>
      </c>
      <c r="AC29" s="4">
        <v>24</v>
      </c>
      <c r="AD29" s="125">
        <v>24636.799999999999</v>
      </c>
      <c r="AE29" s="15" t="s">
        <v>5</v>
      </c>
      <c r="AF29" s="4">
        <v>24</v>
      </c>
      <c r="AG29" s="125">
        <v>25325.91</v>
      </c>
      <c r="AH29" s="15" t="s">
        <v>6</v>
      </c>
      <c r="AI29" s="4">
        <v>24</v>
      </c>
      <c r="AJ29" s="125">
        <v>26558</v>
      </c>
      <c r="AK29" s="15" t="s">
        <v>7</v>
      </c>
      <c r="AL29" s="4">
        <v>24</v>
      </c>
      <c r="AM29" s="125">
        <v>28160</v>
      </c>
      <c r="AN29" s="15" t="s">
        <v>8</v>
      </c>
      <c r="AO29" s="4">
        <v>24</v>
      </c>
      <c r="AP29" s="125">
        <v>28476.69</v>
      </c>
      <c r="AQ29" s="4" t="s">
        <v>9</v>
      </c>
      <c r="AR29" s="1">
        <v>24</v>
      </c>
      <c r="AS29" s="125">
        <v>30949.57</v>
      </c>
      <c r="AT29" s="15" t="s">
        <v>10</v>
      </c>
      <c r="AU29" s="4">
        <v>24</v>
      </c>
      <c r="AV29" s="125">
        <v>30789.42</v>
      </c>
      <c r="AW29" s="4" t="s">
        <v>11</v>
      </c>
      <c r="AX29" s="1">
        <v>24</v>
      </c>
      <c r="AY29" s="125">
        <v>33470.58</v>
      </c>
      <c r="AZ29" s="15" t="s">
        <v>12</v>
      </c>
      <c r="BA29" s="4">
        <v>24</v>
      </c>
      <c r="BB29" s="125">
        <v>31582.78</v>
      </c>
      <c r="BC29" s="4" t="s">
        <v>13</v>
      </c>
      <c r="BD29" s="1">
        <v>24</v>
      </c>
      <c r="BE29" s="125">
        <v>34335.15</v>
      </c>
      <c r="BF29" s="15" t="s">
        <v>14</v>
      </c>
      <c r="BG29" s="4">
        <v>24</v>
      </c>
      <c r="BH29" s="125">
        <v>32780.14</v>
      </c>
      <c r="BI29" s="4" t="s">
        <v>15</v>
      </c>
      <c r="BJ29" s="1">
        <v>24</v>
      </c>
      <c r="BK29" s="125">
        <v>35640.33</v>
      </c>
      <c r="BL29" s="15" t="s">
        <v>16</v>
      </c>
      <c r="BM29" s="4">
        <v>24</v>
      </c>
      <c r="BN29" s="125">
        <v>33768</v>
      </c>
      <c r="BO29" s="4" t="s">
        <v>17</v>
      </c>
      <c r="BP29" s="1">
        <v>24</v>
      </c>
      <c r="BQ29" s="124">
        <v>36640.33</v>
      </c>
      <c r="BR29" s="15" t="s">
        <v>18</v>
      </c>
      <c r="BS29" s="4">
        <v>24</v>
      </c>
      <c r="BT29" s="125">
        <v>32176.75</v>
      </c>
      <c r="BU29" s="15" t="s">
        <v>19</v>
      </c>
      <c r="BV29" s="4">
        <v>24</v>
      </c>
      <c r="BW29" s="125">
        <v>34172.22</v>
      </c>
      <c r="BX29" s="15" t="s">
        <v>20</v>
      </c>
      <c r="BY29" s="4">
        <v>24</v>
      </c>
      <c r="BZ29" s="125">
        <v>35126.68</v>
      </c>
      <c r="CD29"/>
    </row>
    <row r="30" spans="2:82" x14ac:dyDescent="0.2">
      <c r="P30" s="15" t="s">
        <v>0</v>
      </c>
      <c r="Q30" s="4">
        <v>25</v>
      </c>
      <c r="R30" s="124">
        <v>20087.98</v>
      </c>
      <c r="S30" s="15" t="s">
        <v>1</v>
      </c>
      <c r="T30" s="4">
        <v>25</v>
      </c>
      <c r="U30" s="125">
        <v>21203.47</v>
      </c>
      <c r="V30" s="4" t="s">
        <v>2</v>
      </c>
      <c r="W30" s="4">
        <v>25</v>
      </c>
      <c r="X30" s="125">
        <v>23285.77</v>
      </c>
      <c r="Y30" s="4" t="s">
        <v>3</v>
      </c>
      <c r="Z30" s="4">
        <v>25</v>
      </c>
      <c r="AA30" s="125">
        <v>23285.82</v>
      </c>
      <c r="AB30" s="15" t="s">
        <v>4</v>
      </c>
      <c r="AC30" s="4">
        <v>25</v>
      </c>
      <c r="AD30" s="125">
        <v>24797.94</v>
      </c>
      <c r="AE30" s="15" t="s">
        <v>5</v>
      </c>
      <c r="AF30" s="4">
        <v>25</v>
      </c>
      <c r="AG30" s="125">
        <v>25541.58</v>
      </c>
      <c r="AH30" s="15" t="s">
        <v>6</v>
      </c>
      <c r="AI30" s="4">
        <v>25</v>
      </c>
      <c r="AJ30" s="125">
        <v>26781</v>
      </c>
      <c r="AK30" s="15" t="s">
        <v>7</v>
      </c>
      <c r="AL30" s="4">
        <v>25</v>
      </c>
      <c r="AM30" s="125">
        <v>28417</v>
      </c>
      <c r="AN30" s="15" t="s">
        <v>8</v>
      </c>
      <c r="AO30" s="4">
        <v>25</v>
      </c>
      <c r="AP30" s="125">
        <v>28764.25</v>
      </c>
      <c r="AQ30" s="4" t="s">
        <v>9</v>
      </c>
      <c r="AR30" s="1">
        <v>25</v>
      </c>
      <c r="AS30" s="125">
        <v>31263.01</v>
      </c>
      <c r="AT30" s="15" t="s">
        <v>10</v>
      </c>
      <c r="AU30" s="4">
        <v>25</v>
      </c>
      <c r="AV30" s="125">
        <v>31069.54</v>
      </c>
      <c r="AW30" s="4" t="s">
        <v>11</v>
      </c>
      <c r="AX30" s="1">
        <v>25</v>
      </c>
      <c r="AY30" s="125">
        <v>33775.919999999998</v>
      </c>
      <c r="AZ30" s="15" t="s">
        <v>12</v>
      </c>
      <c r="BA30" s="4">
        <v>25</v>
      </c>
      <c r="BB30" s="125">
        <v>31887.69</v>
      </c>
      <c r="BC30" s="4" t="s">
        <v>13</v>
      </c>
      <c r="BD30" s="1">
        <v>25</v>
      </c>
      <c r="BE30" s="125">
        <v>34667.51</v>
      </c>
      <c r="BF30" s="15" t="s">
        <v>14</v>
      </c>
      <c r="BG30" s="4">
        <v>25</v>
      </c>
      <c r="BH30" s="125">
        <v>33127.199999999997</v>
      </c>
      <c r="BI30" s="4" t="s">
        <v>15</v>
      </c>
      <c r="BJ30" s="1">
        <v>25</v>
      </c>
      <c r="BK30" s="125">
        <v>36018.620000000003</v>
      </c>
      <c r="BL30" s="15" t="s">
        <v>16</v>
      </c>
      <c r="BM30" s="4">
        <v>25</v>
      </c>
      <c r="BN30" s="125">
        <v>34037</v>
      </c>
      <c r="BO30" s="4" t="s">
        <v>17</v>
      </c>
      <c r="BP30" s="1">
        <v>25</v>
      </c>
      <c r="BQ30" s="124">
        <v>37018.620000000003</v>
      </c>
      <c r="BR30" s="15" t="s">
        <v>18</v>
      </c>
      <c r="BS30" s="4">
        <v>25</v>
      </c>
      <c r="BT30" s="125">
        <v>32474.23</v>
      </c>
      <c r="BU30" s="15" t="s">
        <v>19</v>
      </c>
      <c r="BV30" s="4">
        <v>25</v>
      </c>
      <c r="BW30" s="125">
        <v>34457.300000000003</v>
      </c>
      <c r="BX30" s="15" t="s">
        <v>20</v>
      </c>
      <c r="BY30" s="4">
        <v>25</v>
      </c>
      <c r="BZ30" s="125">
        <v>35448.949999999997</v>
      </c>
      <c r="CD30"/>
    </row>
    <row r="31" spans="2:82" x14ac:dyDescent="0.2">
      <c r="P31" s="15" t="s">
        <v>0</v>
      </c>
      <c r="Q31" s="4"/>
      <c r="R31" s="124">
        <v>20087.98</v>
      </c>
      <c r="S31" s="15" t="s">
        <v>1</v>
      </c>
      <c r="T31" s="4"/>
      <c r="U31" s="125">
        <v>21203.47</v>
      </c>
      <c r="V31" s="4" t="s">
        <v>2</v>
      </c>
      <c r="W31" s="4"/>
      <c r="X31" s="125">
        <v>23285.77</v>
      </c>
      <c r="Y31" s="4" t="s">
        <v>3</v>
      </c>
      <c r="Z31" s="4"/>
      <c r="AA31" s="125">
        <v>23285.82</v>
      </c>
      <c r="AB31" s="15" t="s">
        <v>4</v>
      </c>
      <c r="AC31" s="4"/>
      <c r="AD31" s="125">
        <v>24797.94</v>
      </c>
      <c r="AE31" s="15" t="s">
        <v>5</v>
      </c>
      <c r="AF31" s="4"/>
      <c r="AG31" s="125">
        <v>25541.58</v>
      </c>
      <c r="AH31" s="15" t="s">
        <v>6</v>
      </c>
      <c r="AI31" s="4">
        <v>26</v>
      </c>
      <c r="AJ31" s="125">
        <v>26860</v>
      </c>
      <c r="AK31" s="15" t="s">
        <v>7</v>
      </c>
      <c r="AL31" s="4">
        <v>26</v>
      </c>
      <c r="AM31" s="125">
        <v>28560</v>
      </c>
      <c r="AN31" s="15" t="s">
        <v>8</v>
      </c>
      <c r="AO31" s="4"/>
      <c r="AP31" s="125">
        <v>28764.25</v>
      </c>
      <c r="AQ31" s="4" t="s">
        <v>9</v>
      </c>
      <c r="AR31" s="4"/>
      <c r="AS31" s="125">
        <v>31263.01</v>
      </c>
      <c r="AT31" s="15" t="s">
        <v>10</v>
      </c>
      <c r="AU31" s="4"/>
      <c r="AV31" s="125">
        <v>31069.54</v>
      </c>
      <c r="AW31" s="4" t="s">
        <v>11</v>
      </c>
      <c r="AX31" s="4"/>
      <c r="AY31" s="125">
        <v>33775.919999999998</v>
      </c>
      <c r="AZ31" s="15" t="s">
        <v>12</v>
      </c>
      <c r="BA31" s="4"/>
      <c r="BB31" s="125">
        <v>31887.69</v>
      </c>
      <c r="BC31" s="4" t="s">
        <v>13</v>
      </c>
      <c r="BD31" s="4"/>
      <c r="BE31" s="125">
        <v>34667.51</v>
      </c>
      <c r="BF31" s="15" t="s">
        <v>14</v>
      </c>
      <c r="BG31" s="4">
        <v>26</v>
      </c>
      <c r="BH31" s="125">
        <v>33127.199999999997</v>
      </c>
      <c r="BI31" s="4" t="s">
        <v>15</v>
      </c>
      <c r="BJ31" s="4"/>
      <c r="BK31" s="125">
        <v>36018.620000000003</v>
      </c>
      <c r="BL31" s="15" t="s">
        <v>16</v>
      </c>
      <c r="BM31" s="4">
        <v>26</v>
      </c>
      <c r="BN31" s="125">
        <v>34307</v>
      </c>
      <c r="BO31" s="4" t="s">
        <v>17</v>
      </c>
      <c r="BP31" s="1"/>
      <c r="BQ31" s="124">
        <v>37018.620000000003</v>
      </c>
      <c r="BR31" s="15" t="s">
        <v>18</v>
      </c>
      <c r="BT31" s="125">
        <v>32474.23</v>
      </c>
      <c r="BU31" s="15" t="s">
        <v>19</v>
      </c>
      <c r="BW31" s="125">
        <v>34457.300000000003</v>
      </c>
      <c r="BX31" s="15" t="s">
        <v>20</v>
      </c>
      <c r="BZ31" s="125">
        <v>35448.949999999997</v>
      </c>
      <c r="CD31"/>
    </row>
    <row r="32" spans="2:82" x14ac:dyDescent="0.2">
      <c r="P32" s="15"/>
      <c r="Q32" s="4"/>
      <c r="R32" s="4"/>
      <c r="S32" s="15"/>
      <c r="T32" s="4"/>
      <c r="U32" s="90"/>
      <c r="V32" s="4"/>
      <c r="W32" s="4"/>
      <c r="X32" s="90"/>
      <c r="Y32" s="4"/>
      <c r="Z32" s="4"/>
      <c r="AA32" s="90"/>
      <c r="AB32" s="15"/>
      <c r="AC32" s="4"/>
      <c r="AD32" s="90"/>
      <c r="AE32" s="15"/>
      <c r="AF32" s="4"/>
      <c r="AG32" s="90"/>
      <c r="AH32" s="15" t="s">
        <v>6</v>
      </c>
      <c r="AI32" s="4">
        <v>27</v>
      </c>
      <c r="AJ32" s="125">
        <v>27059</v>
      </c>
      <c r="AK32" s="15" t="s">
        <v>7</v>
      </c>
      <c r="AL32" s="4">
        <v>27</v>
      </c>
      <c r="AM32" s="125">
        <v>28759</v>
      </c>
      <c r="AN32" s="15"/>
      <c r="AO32" s="4"/>
      <c r="AP32" s="90"/>
      <c r="AQ32" s="4"/>
      <c r="AR32" s="4"/>
      <c r="AS32" s="4"/>
      <c r="AT32" s="15"/>
      <c r="AU32" s="4"/>
      <c r="AV32" s="90"/>
      <c r="AW32" s="4"/>
      <c r="AX32" s="4"/>
      <c r="AY32" s="4"/>
      <c r="AZ32" s="15"/>
      <c r="BA32" s="4"/>
      <c r="BB32" s="90"/>
      <c r="BC32" s="4"/>
      <c r="BD32" s="4"/>
      <c r="BE32" s="4"/>
      <c r="BF32" s="15" t="s">
        <v>14</v>
      </c>
      <c r="BG32" s="4">
        <v>27</v>
      </c>
      <c r="BH32" s="125">
        <v>33625.599999999999</v>
      </c>
      <c r="BI32" s="4"/>
      <c r="BJ32" s="4"/>
      <c r="BK32" s="4"/>
      <c r="BL32" s="15" t="s">
        <v>16</v>
      </c>
      <c r="BM32" s="4">
        <v>27</v>
      </c>
      <c r="BN32" s="125">
        <v>34577</v>
      </c>
      <c r="BO32" s="4"/>
      <c r="BP32" s="1"/>
      <c r="BQ32" s="4"/>
      <c r="BR32" s="32"/>
      <c r="BT32" s="33"/>
      <c r="BU32" s="32"/>
      <c r="BW32" s="33"/>
      <c r="BX32" s="32"/>
      <c r="BZ32" s="33"/>
      <c r="CD32"/>
    </row>
    <row r="33" spans="16:82" x14ac:dyDescent="0.2">
      <c r="P33" s="15"/>
      <c r="Q33" s="4"/>
      <c r="R33" s="4"/>
      <c r="S33" s="15"/>
      <c r="T33" s="4"/>
      <c r="U33" s="90"/>
      <c r="V33" s="4"/>
      <c r="W33" s="4"/>
      <c r="X33" s="90"/>
      <c r="Y33" s="4"/>
      <c r="Z33" s="4"/>
      <c r="AA33" s="90"/>
      <c r="AB33" s="15"/>
      <c r="AC33" s="4"/>
      <c r="AD33" s="90"/>
      <c r="AE33" s="15"/>
      <c r="AF33" s="4"/>
      <c r="AG33" s="90"/>
      <c r="AH33" s="15" t="s">
        <v>6</v>
      </c>
      <c r="AI33" s="4">
        <v>28</v>
      </c>
      <c r="AJ33" s="125">
        <v>27259</v>
      </c>
      <c r="AK33" s="15" t="s">
        <v>7</v>
      </c>
      <c r="AL33" s="4">
        <v>28</v>
      </c>
      <c r="AM33" s="125">
        <v>28959</v>
      </c>
      <c r="AN33" s="15"/>
      <c r="AO33" s="4"/>
      <c r="AP33" s="90"/>
      <c r="AQ33" s="4"/>
      <c r="AR33" s="4"/>
      <c r="AS33" s="4"/>
      <c r="AT33" s="15"/>
      <c r="AU33" s="4"/>
      <c r="AV33" s="90"/>
      <c r="AW33" s="4"/>
      <c r="AX33" s="4"/>
      <c r="AY33" s="4"/>
      <c r="AZ33" s="15"/>
      <c r="BA33" s="4"/>
      <c r="BB33" s="90"/>
      <c r="BC33" s="4"/>
      <c r="BD33" s="4"/>
      <c r="BE33" s="4"/>
      <c r="BF33" s="15" t="s">
        <v>14</v>
      </c>
      <c r="BG33" s="4">
        <v>28</v>
      </c>
      <c r="BH33" s="125">
        <v>33625.599999999999</v>
      </c>
      <c r="BI33" s="4"/>
      <c r="BJ33" s="4"/>
      <c r="BK33" s="4"/>
      <c r="BL33" s="15" t="s">
        <v>16</v>
      </c>
      <c r="BM33" s="4">
        <v>28</v>
      </c>
      <c r="BN33" s="125">
        <v>34846</v>
      </c>
      <c r="BO33" s="4"/>
      <c r="BP33" s="1"/>
      <c r="BQ33" s="4"/>
      <c r="BR33" s="32"/>
      <c r="BT33" s="33"/>
      <c r="BU33" s="32"/>
      <c r="BW33" s="33"/>
      <c r="BX33" s="32"/>
      <c r="BZ33" s="33"/>
      <c r="CD33"/>
    </row>
    <row r="34" spans="16:82" x14ac:dyDescent="0.2">
      <c r="P34" s="15"/>
      <c r="Q34" s="4"/>
      <c r="R34" s="4"/>
      <c r="S34" s="15"/>
      <c r="T34" s="4"/>
      <c r="U34" s="90"/>
      <c r="V34" s="4"/>
      <c r="W34" s="4"/>
      <c r="X34" s="90"/>
      <c r="Y34" s="4"/>
      <c r="Z34" s="4"/>
      <c r="AA34" s="90"/>
      <c r="AB34" s="15"/>
      <c r="AC34" s="4"/>
      <c r="AD34" s="90"/>
      <c r="AE34" s="15"/>
      <c r="AF34" s="4"/>
      <c r="AG34" s="90"/>
      <c r="AH34" s="15" t="s">
        <v>6</v>
      </c>
      <c r="AI34" s="4">
        <v>29</v>
      </c>
      <c r="AJ34" s="125">
        <v>27459</v>
      </c>
      <c r="AK34" s="4" t="s">
        <v>7</v>
      </c>
      <c r="AL34" s="4">
        <v>29</v>
      </c>
      <c r="AM34" s="125">
        <v>29159</v>
      </c>
      <c r="AN34" s="4"/>
      <c r="AO34" s="4"/>
      <c r="AP34" s="90"/>
      <c r="AQ34" s="4"/>
      <c r="AR34" s="4"/>
      <c r="AS34" s="4"/>
      <c r="AT34" s="15"/>
      <c r="AU34" s="4"/>
      <c r="AV34" s="90"/>
      <c r="AW34" s="4"/>
      <c r="AX34" s="4"/>
      <c r="AY34" s="4"/>
      <c r="AZ34" s="15"/>
      <c r="BA34" s="4"/>
      <c r="BB34" s="90"/>
      <c r="BC34" s="4"/>
      <c r="BD34" s="4"/>
      <c r="BE34" s="4"/>
      <c r="BF34" s="15" t="s">
        <v>14</v>
      </c>
      <c r="BG34" s="4">
        <v>29</v>
      </c>
      <c r="BH34" s="125">
        <v>34124</v>
      </c>
      <c r="BI34" s="4"/>
      <c r="BJ34" s="4"/>
      <c r="BK34" s="4"/>
      <c r="BL34" s="15" t="s">
        <v>16</v>
      </c>
      <c r="BM34" s="4">
        <v>29</v>
      </c>
      <c r="BN34" s="125">
        <v>35116</v>
      </c>
      <c r="BO34" s="4"/>
      <c r="BP34" s="1"/>
      <c r="BQ34" s="4"/>
      <c r="BR34" s="32"/>
      <c r="BT34" s="33"/>
      <c r="BU34" s="32"/>
      <c r="BW34" s="33"/>
      <c r="BX34" s="32"/>
      <c r="BZ34" s="33"/>
      <c r="CD34"/>
    </row>
    <row r="35" spans="16:82" x14ac:dyDescent="0.2">
      <c r="P35" s="16"/>
      <c r="Q35" s="17"/>
      <c r="R35" s="17"/>
      <c r="S35" s="16"/>
      <c r="T35" s="17"/>
      <c r="U35" s="83"/>
      <c r="V35" s="16"/>
      <c r="W35" s="17"/>
      <c r="X35" s="83"/>
      <c r="Y35" s="17"/>
      <c r="Z35" s="17"/>
      <c r="AA35" s="83"/>
      <c r="AB35" s="16"/>
      <c r="AC35" s="17"/>
      <c r="AD35" s="83"/>
      <c r="AE35" s="16"/>
      <c r="AF35" s="17"/>
      <c r="AG35" s="83"/>
      <c r="AH35" s="15" t="s">
        <v>6</v>
      </c>
      <c r="AI35" s="4"/>
      <c r="AJ35" s="125">
        <v>27459</v>
      </c>
      <c r="AK35" s="4" t="s">
        <v>7</v>
      </c>
      <c r="AL35" s="4"/>
      <c r="AM35" s="125">
        <v>29159</v>
      </c>
      <c r="AN35" s="16"/>
      <c r="AO35" s="17"/>
      <c r="AP35" s="83"/>
      <c r="AQ35" s="17"/>
      <c r="AR35" s="17"/>
      <c r="AS35" s="17"/>
      <c r="AT35" s="16"/>
      <c r="AU35" s="17"/>
      <c r="AV35" s="83"/>
      <c r="AW35" s="17"/>
      <c r="AX35" s="17"/>
      <c r="AY35" s="17"/>
      <c r="AZ35" s="16"/>
      <c r="BA35" s="17"/>
      <c r="BB35" s="83"/>
      <c r="BC35" s="17"/>
      <c r="BD35" s="17"/>
      <c r="BE35" s="17"/>
      <c r="BF35" s="15" t="s">
        <v>14</v>
      </c>
      <c r="BG35" s="4"/>
      <c r="BH35" s="125">
        <v>34124</v>
      </c>
      <c r="BI35" s="17"/>
      <c r="BJ35" s="17"/>
      <c r="BK35" s="17"/>
      <c r="BL35" s="15" t="s">
        <v>16</v>
      </c>
      <c r="BM35" s="17"/>
      <c r="BN35" s="125">
        <v>35116</v>
      </c>
      <c r="BO35" s="17"/>
      <c r="BP35" s="64"/>
      <c r="BQ35" s="17"/>
      <c r="BR35" s="38"/>
      <c r="BS35" s="39"/>
      <c r="BT35" s="40"/>
      <c r="BU35" s="38"/>
      <c r="BV35" s="39"/>
      <c r="BW35" s="40"/>
      <c r="BX35" s="38"/>
      <c r="BY35" s="39"/>
      <c r="BZ35" s="40"/>
      <c r="CD35"/>
    </row>
    <row r="36" spans="16:82" x14ac:dyDescent="0.2"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89"/>
      <c r="AL36" s="289"/>
      <c r="AM36" s="289"/>
      <c r="AN36" s="290"/>
      <c r="AO36" s="291"/>
      <c r="AP36" s="292"/>
      <c r="AQ36" s="295"/>
      <c r="AR36" s="296"/>
      <c r="AS36" s="297"/>
      <c r="AT36" s="295"/>
      <c r="AU36" s="296"/>
      <c r="AV36" s="297"/>
      <c r="AW36" s="295"/>
      <c r="AX36" s="296"/>
      <c r="AY36" s="297"/>
      <c r="AZ36" s="295"/>
      <c r="BA36" s="296"/>
      <c r="BB36" s="297"/>
      <c r="BC36" s="295"/>
      <c r="BD36" s="296"/>
      <c r="BE36" s="297"/>
      <c r="BF36" s="295"/>
      <c r="BG36" s="296"/>
      <c r="BH36" s="297"/>
      <c r="BI36" s="280"/>
      <c r="BJ36" s="280"/>
      <c r="BK36" s="281"/>
      <c r="BL36" s="279"/>
      <c r="BM36" s="280"/>
      <c r="BN36" s="280"/>
      <c r="BO36" s="279"/>
      <c r="BP36" s="280"/>
      <c r="BQ36" s="281"/>
      <c r="BR36" s="280"/>
      <c r="BS36" s="280"/>
      <c r="BT36" s="281"/>
      <c r="BU36" s="280"/>
      <c r="BV36" s="280"/>
      <c r="BW36" s="281"/>
      <c r="BX36"/>
      <c r="BY36"/>
      <c r="BZ36"/>
      <c r="CA36"/>
      <c r="CB36"/>
      <c r="CC36"/>
      <c r="CD36"/>
    </row>
    <row r="37" spans="16:82" x14ac:dyDescent="0.2">
      <c r="P37" s="286"/>
      <c r="Q37" s="287" t="s">
        <v>21</v>
      </c>
      <c r="R37" s="288"/>
      <c r="S37" s="287"/>
      <c r="T37" s="287" t="s">
        <v>22</v>
      </c>
      <c r="U37" s="287"/>
      <c r="V37" s="286"/>
      <c r="W37" s="287" t="s">
        <v>23</v>
      </c>
      <c r="X37" s="288"/>
      <c r="Y37" s="286"/>
      <c r="Z37" s="287" t="s">
        <v>24</v>
      </c>
      <c r="AA37" s="288"/>
      <c r="AB37" s="286"/>
      <c r="AC37" s="287" t="s">
        <v>25</v>
      </c>
      <c r="AD37" s="288"/>
      <c r="AE37" s="286"/>
      <c r="AF37" s="287" t="s">
        <v>26</v>
      </c>
      <c r="AG37" s="288"/>
      <c r="AH37" s="286"/>
      <c r="AI37" s="287" t="s">
        <v>27</v>
      </c>
      <c r="AJ37" s="287"/>
      <c r="AK37" s="286"/>
      <c r="AL37" s="287" t="s">
        <v>28</v>
      </c>
      <c r="AM37" s="288"/>
      <c r="AN37" s="286"/>
      <c r="AO37" s="287" t="s">
        <v>29</v>
      </c>
      <c r="AP37" s="288"/>
      <c r="AQ37" s="284"/>
      <c r="AR37" s="278" t="s">
        <v>30</v>
      </c>
      <c r="AS37" s="285"/>
      <c r="AT37" s="284"/>
      <c r="AU37" s="278" t="s">
        <v>31</v>
      </c>
      <c r="AV37" s="285"/>
      <c r="AW37" s="284"/>
      <c r="AX37" s="278" t="s">
        <v>32</v>
      </c>
      <c r="AY37" s="285"/>
      <c r="AZ37" s="284"/>
      <c r="BA37" s="278" t="s">
        <v>33</v>
      </c>
      <c r="BB37" s="285"/>
      <c r="BC37" s="284"/>
      <c r="BD37" s="278" t="s">
        <v>34</v>
      </c>
      <c r="BE37" s="285"/>
      <c r="BF37" s="284"/>
      <c r="BG37" s="278" t="s">
        <v>35</v>
      </c>
      <c r="BH37" s="285"/>
      <c r="BI37" s="278"/>
      <c r="BJ37" s="278" t="s">
        <v>705</v>
      </c>
      <c r="BK37" s="285"/>
      <c r="BL37" s="284"/>
      <c r="BM37" s="278" t="s">
        <v>706</v>
      </c>
      <c r="BN37" s="278"/>
      <c r="BO37" s="284"/>
      <c r="BP37" s="278" t="s">
        <v>707</v>
      </c>
      <c r="BQ37" s="285"/>
      <c r="BR37" s="278"/>
      <c r="BS37" s="278" t="s">
        <v>708</v>
      </c>
      <c r="BT37" s="285"/>
      <c r="BU37" s="278"/>
      <c r="BV37" s="278" t="s">
        <v>709</v>
      </c>
      <c r="BW37" s="285"/>
      <c r="BX37"/>
      <c r="BY37"/>
      <c r="BZ37"/>
      <c r="CA37"/>
      <c r="CB37"/>
      <c r="CC37"/>
      <c r="CD37"/>
    </row>
    <row r="38" spans="16:82" x14ac:dyDescent="0.2">
      <c r="P38" s="32"/>
      <c r="R38" s="33"/>
      <c r="V38" s="32"/>
      <c r="X38" s="33"/>
      <c r="Y38" s="32"/>
      <c r="AA38" s="33"/>
      <c r="AB38" s="32"/>
      <c r="AD38" s="33"/>
      <c r="AE38" s="32"/>
      <c r="AG38" s="33"/>
      <c r="AH38" s="4"/>
      <c r="AI38" s="4"/>
      <c r="AJ38" s="4"/>
      <c r="AK38" s="15"/>
      <c r="AL38" s="4"/>
      <c r="AM38" s="4"/>
      <c r="AN38" s="15"/>
      <c r="AO38" s="4"/>
      <c r="AP38" s="90"/>
      <c r="AQ38" s="32"/>
      <c r="AS38" s="33"/>
      <c r="AT38" s="32"/>
      <c r="AV38" s="33"/>
      <c r="AW38" s="32"/>
      <c r="AY38" s="33"/>
      <c r="AZ38" s="32"/>
      <c r="BB38" s="33"/>
      <c r="BC38" s="32"/>
      <c r="BE38" s="33"/>
      <c r="BF38" s="32"/>
      <c r="BH38" s="33"/>
      <c r="BK38" s="33"/>
      <c r="BL38" s="32"/>
      <c r="BO38" s="32"/>
      <c r="BP38" s="2"/>
      <c r="BQ38" s="33"/>
      <c r="BT38" s="33"/>
      <c r="BW38" s="33"/>
      <c r="BX38"/>
      <c r="BY38"/>
      <c r="BZ38"/>
      <c r="CA38"/>
      <c r="CB38"/>
      <c r="CC38"/>
      <c r="CD38"/>
    </row>
    <row r="39" spans="16:82" x14ac:dyDescent="0.2">
      <c r="P39" s="15" t="s">
        <v>21</v>
      </c>
      <c r="Q39" s="4">
        <v>0</v>
      </c>
      <c r="R39" s="125">
        <v>22070.95</v>
      </c>
      <c r="S39" s="124" t="s">
        <v>22</v>
      </c>
      <c r="T39" s="4">
        <v>0</v>
      </c>
      <c r="U39" s="124">
        <v>24797.78</v>
      </c>
      <c r="V39" s="15" t="s">
        <v>23</v>
      </c>
      <c r="W39" s="4">
        <v>0</v>
      </c>
      <c r="X39" s="125">
        <v>25789.360000000001</v>
      </c>
      <c r="Y39" s="15" t="s">
        <v>24</v>
      </c>
      <c r="Z39" s="4">
        <v>0</v>
      </c>
      <c r="AA39" s="125">
        <v>28516.19</v>
      </c>
      <c r="AB39" s="15" t="s">
        <v>25</v>
      </c>
      <c r="AC39" s="4">
        <v>0</v>
      </c>
      <c r="AD39" s="125">
        <v>34961.42</v>
      </c>
      <c r="AE39" s="15" t="s">
        <v>26</v>
      </c>
      <c r="AF39" s="4">
        <v>0</v>
      </c>
      <c r="AG39" s="125">
        <v>36324.83</v>
      </c>
      <c r="AH39" s="4" t="s">
        <v>27</v>
      </c>
      <c r="AI39" s="4">
        <v>0</v>
      </c>
      <c r="AJ39" s="124">
        <v>38431.93</v>
      </c>
      <c r="AK39" s="15" t="s">
        <v>28</v>
      </c>
      <c r="AL39" s="4">
        <v>0</v>
      </c>
      <c r="AM39" s="124">
        <v>42398.22</v>
      </c>
      <c r="AN39" s="15" t="s">
        <v>29</v>
      </c>
      <c r="AO39" s="4">
        <v>0</v>
      </c>
      <c r="AP39" s="125">
        <v>32583.13</v>
      </c>
      <c r="AQ39" s="15" t="s">
        <v>30</v>
      </c>
      <c r="AR39" s="4">
        <v>0</v>
      </c>
      <c r="AS39" s="125">
        <v>26653.52</v>
      </c>
      <c r="AT39" s="15" t="s">
        <v>31</v>
      </c>
      <c r="AU39" s="4">
        <v>0</v>
      </c>
      <c r="AV39" s="125">
        <v>27764.080000000002</v>
      </c>
      <c r="AW39" s="15" t="s">
        <v>32</v>
      </c>
      <c r="AX39" s="4">
        <v>0</v>
      </c>
      <c r="AY39" s="125">
        <v>29167.16</v>
      </c>
      <c r="AZ39" s="15" t="s">
        <v>33</v>
      </c>
      <c r="BA39" s="4">
        <v>0</v>
      </c>
      <c r="BB39" s="125">
        <v>35999.1</v>
      </c>
      <c r="BC39" s="15" t="s">
        <v>34</v>
      </c>
      <c r="BD39" s="4">
        <v>0</v>
      </c>
      <c r="BE39" s="125">
        <v>36031.33</v>
      </c>
      <c r="BF39" s="15" t="s">
        <v>35</v>
      </c>
      <c r="BG39" s="4">
        <v>0</v>
      </c>
      <c r="BH39" s="125">
        <v>30738.799999999999</v>
      </c>
      <c r="BI39" s="4" t="s">
        <v>705</v>
      </c>
      <c r="BJ39" s="4">
        <v>0</v>
      </c>
      <c r="BK39" s="125">
        <v>17673.349999999999</v>
      </c>
      <c r="BL39" s="15" t="s">
        <v>706</v>
      </c>
      <c r="BM39" s="4">
        <v>0</v>
      </c>
      <c r="BN39" s="124">
        <v>15558.01</v>
      </c>
      <c r="BO39" s="15" t="s">
        <v>707</v>
      </c>
      <c r="BP39" s="4">
        <v>0</v>
      </c>
      <c r="BQ39" s="125">
        <v>16872.86</v>
      </c>
      <c r="BR39" s="4" t="s">
        <v>708</v>
      </c>
      <c r="BS39" s="4">
        <v>0</v>
      </c>
      <c r="BT39" s="125">
        <v>18273.7</v>
      </c>
      <c r="BU39" s="4" t="s">
        <v>709</v>
      </c>
      <c r="BV39" s="4">
        <v>0</v>
      </c>
      <c r="BW39" s="125">
        <v>19773.7</v>
      </c>
      <c r="BX39"/>
      <c r="BY39"/>
      <c r="BZ39"/>
      <c r="CA39"/>
      <c r="CB39"/>
      <c r="CC39"/>
      <c r="CD39"/>
    </row>
    <row r="40" spans="16:82" x14ac:dyDescent="0.2">
      <c r="P40" s="15" t="s">
        <v>21</v>
      </c>
      <c r="Q40" s="4">
        <v>1</v>
      </c>
      <c r="R40" s="125">
        <v>22507.25</v>
      </c>
      <c r="S40" s="124" t="s">
        <v>22</v>
      </c>
      <c r="T40" s="4">
        <v>1</v>
      </c>
      <c r="U40" s="124">
        <v>25392.73</v>
      </c>
      <c r="V40" s="15" t="s">
        <v>23</v>
      </c>
      <c r="W40" s="4">
        <v>1</v>
      </c>
      <c r="X40" s="125">
        <v>26632.2</v>
      </c>
      <c r="Y40" s="15" t="s">
        <v>24</v>
      </c>
      <c r="Z40" s="4">
        <v>1</v>
      </c>
      <c r="AA40" s="125">
        <v>29433.4</v>
      </c>
      <c r="AB40" s="15" t="s">
        <v>25</v>
      </c>
      <c r="AC40" s="4">
        <v>1</v>
      </c>
      <c r="AD40" s="125">
        <v>35953</v>
      </c>
      <c r="AE40" s="15" t="s">
        <v>26</v>
      </c>
      <c r="AF40" s="4">
        <v>1</v>
      </c>
      <c r="AG40" s="125">
        <v>37341.199999999997</v>
      </c>
      <c r="AH40" s="4" t="s">
        <v>27</v>
      </c>
      <c r="AI40" s="4">
        <v>1</v>
      </c>
      <c r="AJ40" s="124">
        <v>38431.93</v>
      </c>
      <c r="AK40" s="15" t="s">
        <v>28</v>
      </c>
      <c r="AL40" s="4">
        <v>1</v>
      </c>
      <c r="AM40" s="124">
        <v>42398.22</v>
      </c>
      <c r="AN40" s="15" t="s">
        <v>29</v>
      </c>
      <c r="AO40" s="4">
        <v>1</v>
      </c>
      <c r="AP40" s="125">
        <v>33607.93</v>
      </c>
      <c r="AQ40" s="15" t="s">
        <v>30</v>
      </c>
      <c r="AR40" s="4">
        <v>1</v>
      </c>
      <c r="AS40" s="125">
        <v>27319.86</v>
      </c>
      <c r="AT40" s="15" t="s">
        <v>31</v>
      </c>
      <c r="AU40" s="4">
        <v>1</v>
      </c>
      <c r="AV40" s="125">
        <v>28708.06</v>
      </c>
      <c r="AW40" s="15" t="s">
        <v>32</v>
      </c>
      <c r="AX40" s="4">
        <v>1</v>
      </c>
      <c r="AY40" s="125">
        <v>30139.4</v>
      </c>
      <c r="AZ40" s="15" t="s">
        <v>33</v>
      </c>
      <c r="BA40" s="4">
        <v>1</v>
      </c>
      <c r="BB40" s="125">
        <v>37050.17</v>
      </c>
      <c r="BC40" s="15" t="s">
        <v>34</v>
      </c>
      <c r="BD40" s="4">
        <v>1</v>
      </c>
      <c r="BE40" s="125">
        <v>37068.03</v>
      </c>
      <c r="BF40" s="15" t="s">
        <v>35</v>
      </c>
      <c r="BG40" s="4">
        <v>1</v>
      </c>
      <c r="BH40" s="125">
        <v>31705.59</v>
      </c>
      <c r="BI40" s="4" t="s">
        <v>705</v>
      </c>
      <c r="BJ40" s="4">
        <v>1</v>
      </c>
      <c r="BK40" s="125">
        <v>18020.41</v>
      </c>
      <c r="BL40" s="15" t="s">
        <v>706</v>
      </c>
      <c r="BM40" s="4">
        <v>1</v>
      </c>
      <c r="BN40" s="124">
        <v>15825.32</v>
      </c>
      <c r="BO40" s="15" t="s">
        <v>707</v>
      </c>
      <c r="BP40" s="4">
        <v>1</v>
      </c>
      <c r="BQ40" s="125">
        <v>17184.95</v>
      </c>
      <c r="BR40" s="4" t="s">
        <v>708</v>
      </c>
      <c r="BS40" s="4">
        <v>1</v>
      </c>
      <c r="BT40" s="125">
        <v>18721.009999999998</v>
      </c>
      <c r="BU40" s="4" t="s">
        <v>709</v>
      </c>
      <c r="BV40" s="4">
        <v>1</v>
      </c>
      <c r="BW40" s="125">
        <v>20041.009999999998</v>
      </c>
      <c r="BX40"/>
      <c r="BY40"/>
      <c r="BZ40"/>
      <c r="CA40"/>
      <c r="CB40"/>
      <c r="CC40"/>
      <c r="CD40"/>
    </row>
    <row r="41" spans="16:82" x14ac:dyDescent="0.2">
      <c r="P41" s="15" t="s">
        <v>21</v>
      </c>
      <c r="Q41" s="4">
        <v>2</v>
      </c>
      <c r="R41" s="125">
        <v>22943.55</v>
      </c>
      <c r="S41" s="124" t="s">
        <v>22</v>
      </c>
      <c r="T41" s="4">
        <v>2</v>
      </c>
      <c r="U41" s="124">
        <v>25987.68</v>
      </c>
      <c r="V41" s="15" t="s">
        <v>23</v>
      </c>
      <c r="W41" s="4">
        <v>2</v>
      </c>
      <c r="X41" s="125">
        <v>27475.040000000001</v>
      </c>
      <c r="Y41" s="15" t="s">
        <v>24</v>
      </c>
      <c r="Z41" s="4">
        <v>2</v>
      </c>
      <c r="AA41" s="125">
        <v>30350.61</v>
      </c>
      <c r="AB41" s="15" t="s">
        <v>25</v>
      </c>
      <c r="AC41" s="4">
        <v>2</v>
      </c>
      <c r="AD41" s="125">
        <v>36895</v>
      </c>
      <c r="AE41" s="15" t="s">
        <v>26</v>
      </c>
      <c r="AF41" s="4">
        <v>2</v>
      </c>
      <c r="AG41" s="125">
        <v>38307.99</v>
      </c>
      <c r="AH41" s="4" t="s">
        <v>27</v>
      </c>
      <c r="AI41" s="4">
        <v>2</v>
      </c>
      <c r="AJ41" s="124">
        <v>39919.300000000003</v>
      </c>
      <c r="AK41" s="15" t="s">
        <v>28</v>
      </c>
      <c r="AL41" s="4">
        <v>2</v>
      </c>
      <c r="AM41" s="124">
        <v>44009.53</v>
      </c>
      <c r="AN41" s="15" t="s">
        <v>29</v>
      </c>
      <c r="AO41" s="4">
        <v>2</v>
      </c>
      <c r="AP41" s="125">
        <v>34632.730000000003</v>
      </c>
      <c r="AQ41" s="15" t="s">
        <v>30</v>
      </c>
      <c r="AR41" s="4">
        <v>2</v>
      </c>
      <c r="AS41" s="125">
        <v>27986.2</v>
      </c>
      <c r="AT41" s="15" t="s">
        <v>31</v>
      </c>
      <c r="AU41" s="4">
        <v>2</v>
      </c>
      <c r="AV41" s="125">
        <v>29652.04</v>
      </c>
      <c r="AW41" s="15" t="s">
        <v>32</v>
      </c>
      <c r="AX41" s="4">
        <v>2</v>
      </c>
      <c r="AY41" s="125">
        <v>31111.64</v>
      </c>
      <c r="AZ41" s="15" t="s">
        <v>33</v>
      </c>
      <c r="BA41" s="4">
        <v>2</v>
      </c>
      <c r="BB41" s="125">
        <v>38048.69</v>
      </c>
      <c r="BC41" s="15" t="s">
        <v>34</v>
      </c>
      <c r="BD41" s="4">
        <v>2</v>
      </c>
      <c r="BE41" s="125">
        <v>38054.160000000003</v>
      </c>
      <c r="BF41" s="15" t="s">
        <v>35</v>
      </c>
      <c r="BG41" s="4">
        <v>2</v>
      </c>
      <c r="BH41" s="125">
        <v>32672.38</v>
      </c>
      <c r="BI41" s="4" t="s">
        <v>705</v>
      </c>
      <c r="BJ41" s="4">
        <v>2</v>
      </c>
      <c r="BK41" s="125">
        <v>18286.560000000001</v>
      </c>
      <c r="BL41" s="15" t="s">
        <v>706</v>
      </c>
      <c r="BM41" s="4">
        <v>2</v>
      </c>
      <c r="BN41" s="124">
        <v>16092.63</v>
      </c>
      <c r="BO41" s="15" t="s">
        <v>707</v>
      </c>
      <c r="BP41" s="4">
        <v>2</v>
      </c>
      <c r="BQ41" s="125">
        <v>17317.04</v>
      </c>
      <c r="BR41" s="4" t="s">
        <v>708</v>
      </c>
      <c r="BS41" s="4">
        <v>2</v>
      </c>
      <c r="BT41" s="125">
        <v>18988.32</v>
      </c>
      <c r="BU41" s="4" t="s">
        <v>709</v>
      </c>
      <c r="BV41" s="4">
        <v>2</v>
      </c>
      <c r="BW41" s="125">
        <v>20308.32</v>
      </c>
      <c r="BX41"/>
      <c r="BY41"/>
      <c r="BZ41"/>
      <c r="CA41"/>
      <c r="CB41"/>
      <c r="CC41"/>
      <c r="CD41"/>
    </row>
    <row r="42" spans="16:82" x14ac:dyDescent="0.2">
      <c r="P42" s="15" t="s">
        <v>21</v>
      </c>
      <c r="Q42" s="4">
        <v>3</v>
      </c>
      <c r="R42" s="125">
        <v>23379.85</v>
      </c>
      <c r="S42" s="124" t="s">
        <v>22</v>
      </c>
      <c r="T42" s="4">
        <v>3</v>
      </c>
      <c r="U42" s="124">
        <v>26582.63</v>
      </c>
      <c r="V42" s="15" t="s">
        <v>23</v>
      </c>
      <c r="W42" s="4">
        <v>3</v>
      </c>
      <c r="X42" s="125">
        <v>28317.88</v>
      </c>
      <c r="Y42" s="15" t="s">
        <v>24</v>
      </c>
      <c r="Z42" s="4">
        <v>3</v>
      </c>
      <c r="AA42" s="125">
        <v>31267.82</v>
      </c>
      <c r="AB42" s="15" t="s">
        <v>25</v>
      </c>
      <c r="AC42" s="4">
        <v>3</v>
      </c>
      <c r="AD42" s="125">
        <v>37837</v>
      </c>
      <c r="AE42" s="15" t="s">
        <v>26</v>
      </c>
      <c r="AF42" s="4">
        <v>3</v>
      </c>
      <c r="AG42" s="125">
        <v>39274.78</v>
      </c>
      <c r="AH42" s="4" t="s">
        <v>27</v>
      </c>
      <c r="AI42" s="4">
        <v>3</v>
      </c>
      <c r="AJ42" s="124">
        <v>39919.300000000003</v>
      </c>
      <c r="AK42" s="15" t="s">
        <v>28</v>
      </c>
      <c r="AL42" s="4">
        <v>3</v>
      </c>
      <c r="AM42" s="124">
        <v>44009.53</v>
      </c>
      <c r="AN42" s="15" t="s">
        <v>29</v>
      </c>
      <c r="AO42" s="4">
        <v>3</v>
      </c>
      <c r="AP42" s="125">
        <v>35657.53</v>
      </c>
      <c r="AQ42" s="15" t="s">
        <v>30</v>
      </c>
      <c r="AR42" s="4">
        <v>3</v>
      </c>
      <c r="AS42" s="125">
        <v>28652.54</v>
      </c>
      <c r="AT42" s="15" t="s">
        <v>31</v>
      </c>
      <c r="AU42" s="4">
        <v>3</v>
      </c>
      <c r="AV42" s="125">
        <v>30596.02</v>
      </c>
      <c r="AW42" s="15" t="s">
        <v>32</v>
      </c>
      <c r="AX42" s="4">
        <v>3</v>
      </c>
      <c r="AY42" s="125">
        <v>32083.88</v>
      </c>
      <c r="AZ42" s="15" t="s">
        <v>33</v>
      </c>
      <c r="BA42" s="4">
        <v>3</v>
      </c>
      <c r="BB42" s="125">
        <v>39047.21</v>
      </c>
      <c r="BC42" s="15" t="s">
        <v>34</v>
      </c>
      <c r="BD42" s="4">
        <v>3</v>
      </c>
      <c r="BE42" s="125">
        <v>39040.29</v>
      </c>
      <c r="BF42" s="15" t="s">
        <v>35</v>
      </c>
      <c r="BG42" s="4">
        <v>3</v>
      </c>
      <c r="BH42" s="125">
        <v>33639.17</v>
      </c>
      <c r="BI42" s="4" t="s">
        <v>705</v>
      </c>
      <c r="BJ42" s="4">
        <v>3</v>
      </c>
      <c r="BK42" s="125">
        <v>18714.53</v>
      </c>
      <c r="BL42" s="15" t="s">
        <v>706</v>
      </c>
      <c r="BM42" s="4">
        <v>3</v>
      </c>
      <c r="BN42" s="124">
        <v>16539.939999999999</v>
      </c>
      <c r="BO42" s="15" t="s">
        <v>707</v>
      </c>
      <c r="BP42" s="4">
        <v>3</v>
      </c>
      <c r="BQ42" s="125">
        <v>17629.13</v>
      </c>
      <c r="BR42" s="4" t="s">
        <v>708</v>
      </c>
      <c r="BS42" s="4">
        <v>3</v>
      </c>
      <c r="BT42" s="125">
        <v>19255.63</v>
      </c>
      <c r="BU42" s="4" t="s">
        <v>709</v>
      </c>
      <c r="BV42" s="4">
        <v>3</v>
      </c>
      <c r="BW42" s="125">
        <v>20575.63</v>
      </c>
      <c r="BX42"/>
      <c r="BY42"/>
      <c r="BZ42"/>
      <c r="CA42"/>
      <c r="CB42"/>
      <c r="CC42"/>
      <c r="CD42"/>
    </row>
    <row r="43" spans="16:82" x14ac:dyDescent="0.2">
      <c r="P43" s="15" t="s">
        <v>21</v>
      </c>
      <c r="Q43" s="4">
        <v>4</v>
      </c>
      <c r="R43" s="125">
        <v>23816.15</v>
      </c>
      <c r="S43" s="124" t="s">
        <v>22</v>
      </c>
      <c r="T43" s="4">
        <v>4</v>
      </c>
      <c r="U43" s="124">
        <v>27177.58</v>
      </c>
      <c r="V43" s="15" t="s">
        <v>23</v>
      </c>
      <c r="W43" s="4">
        <v>4</v>
      </c>
      <c r="X43" s="125">
        <v>29160.720000000001</v>
      </c>
      <c r="Y43" s="15" t="s">
        <v>24</v>
      </c>
      <c r="Z43" s="4">
        <v>4</v>
      </c>
      <c r="AA43" s="125">
        <v>32185.03</v>
      </c>
      <c r="AB43" s="15" t="s">
        <v>25</v>
      </c>
      <c r="AC43" s="4">
        <v>4</v>
      </c>
      <c r="AD43" s="125">
        <v>38779</v>
      </c>
      <c r="AE43" s="15" t="s">
        <v>26</v>
      </c>
      <c r="AF43" s="4">
        <v>4</v>
      </c>
      <c r="AG43" s="125">
        <v>40241.57</v>
      </c>
      <c r="AH43" s="4" t="s">
        <v>27</v>
      </c>
      <c r="AI43" s="4">
        <v>4</v>
      </c>
      <c r="AJ43" s="124">
        <v>41406.67</v>
      </c>
      <c r="AK43" s="15" t="s">
        <v>28</v>
      </c>
      <c r="AL43" s="4">
        <v>4</v>
      </c>
      <c r="AM43" s="124">
        <v>45620.84</v>
      </c>
      <c r="AN43" s="15" t="s">
        <v>29</v>
      </c>
      <c r="AO43" s="4">
        <v>4</v>
      </c>
      <c r="AP43" s="125">
        <v>36682.33</v>
      </c>
      <c r="AQ43" s="15" t="s">
        <v>30</v>
      </c>
      <c r="AR43" s="4">
        <v>4</v>
      </c>
      <c r="AS43" s="125">
        <v>29318.880000000001</v>
      </c>
      <c r="AT43" s="15" t="s">
        <v>31</v>
      </c>
      <c r="AU43" s="4">
        <v>4</v>
      </c>
      <c r="AV43" s="125">
        <v>31540</v>
      </c>
      <c r="AW43" s="15" t="s">
        <v>32</v>
      </c>
      <c r="AX43" s="4">
        <v>4</v>
      </c>
      <c r="AY43" s="125">
        <v>33056.120000000003</v>
      </c>
      <c r="AZ43" s="15" t="s">
        <v>33</v>
      </c>
      <c r="BA43" s="4">
        <v>4</v>
      </c>
      <c r="BB43" s="125">
        <v>40045.730000000003</v>
      </c>
      <c r="BC43" s="15" t="s">
        <v>34</v>
      </c>
      <c r="BD43" s="4">
        <v>4</v>
      </c>
      <c r="BE43" s="125">
        <v>40026.42</v>
      </c>
      <c r="BF43" s="15" t="s">
        <v>35</v>
      </c>
      <c r="BG43" s="4">
        <v>4</v>
      </c>
      <c r="BH43" s="125">
        <v>34605.96</v>
      </c>
      <c r="BI43" s="4" t="s">
        <v>705</v>
      </c>
      <c r="BJ43" s="4">
        <v>4</v>
      </c>
      <c r="BK43" s="125">
        <v>19061.59</v>
      </c>
      <c r="BL43" s="15" t="s">
        <v>706</v>
      </c>
      <c r="BM43" s="4">
        <v>4</v>
      </c>
      <c r="BN43" s="124">
        <v>16539.939999999999</v>
      </c>
      <c r="BO43" s="15" t="s">
        <v>707</v>
      </c>
      <c r="BP43" s="4">
        <v>4</v>
      </c>
      <c r="BQ43" s="125">
        <v>17629.13</v>
      </c>
      <c r="BR43" s="4" t="s">
        <v>708</v>
      </c>
      <c r="BS43" s="4">
        <v>4</v>
      </c>
      <c r="BT43" s="125">
        <v>19255.63</v>
      </c>
      <c r="BU43" s="4" t="s">
        <v>709</v>
      </c>
      <c r="BV43" s="4">
        <v>4</v>
      </c>
      <c r="BW43" s="125">
        <v>20575.63</v>
      </c>
      <c r="BX43"/>
      <c r="BY43"/>
      <c r="BZ43"/>
      <c r="CA43"/>
      <c r="CB43"/>
      <c r="CC43"/>
      <c r="CD43"/>
    </row>
    <row r="44" spans="16:82" x14ac:dyDescent="0.2">
      <c r="P44" s="15" t="s">
        <v>21</v>
      </c>
      <c r="Q44" s="4">
        <v>5</v>
      </c>
      <c r="R44" s="125">
        <v>24252.45</v>
      </c>
      <c r="S44" s="124" t="s">
        <v>22</v>
      </c>
      <c r="T44" s="4">
        <v>5</v>
      </c>
      <c r="U44" s="124">
        <v>27772.53</v>
      </c>
      <c r="V44" s="15" t="s">
        <v>23</v>
      </c>
      <c r="W44" s="4">
        <v>5</v>
      </c>
      <c r="X44" s="125">
        <v>30003.56</v>
      </c>
      <c r="Y44" s="15" t="s">
        <v>24</v>
      </c>
      <c r="Z44" s="4">
        <v>5</v>
      </c>
      <c r="AA44" s="125">
        <v>33102.239999999998</v>
      </c>
      <c r="AB44" s="15" t="s">
        <v>25</v>
      </c>
      <c r="AC44" s="4">
        <v>5</v>
      </c>
      <c r="AD44" s="125">
        <v>39721</v>
      </c>
      <c r="AE44" s="15" t="s">
        <v>26</v>
      </c>
      <c r="AF44" s="4">
        <v>5</v>
      </c>
      <c r="AG44" s="125">
        <v>41208.36</v>
      </c>
      <c r="AH44" s="4" t="s">
        <v>27</v>
      </c>
      <c r="AI44" s="4">
        <v>5</v>
      </c>
      <c r="AJ44" s="124">
        <v>41406.67</v>
      </c>
      <c r="AK44" s="15" t="s">
        <v>28</v>
      </c>
      <c r="AL44" s="4">
        <v>5</v>
      </c>
      <c r="AM44" s="124">
        <v>45620.84</v>
      </c>
      <c r="AN44" s="15" t="s">
        <v>29</v>
      </c>
      <c r="AO44" s="4">
        <v>5</v>
      </c>
      <c r="AP44" s="125">
        <v>37707.129999999997</v>
      </c>
      <c r="AQ44" s="15" t="s">
        <v>30</v>
      </c>
      <c r="AR44" s="4">
        <v>5</v>
      </c>
      <c r="AS44" s="125">
        <v>29985.22</v>
      </c>
      <c r="AT44" s="15" t="s">
        <v>31</v>
      </c>
      <c r="AU44" s="4">
        <v>5</v>
      </c>
      <c r="AV44" s="125">
        <v>32483.98</v>
      </c>
      <c r="AW44" s="15" t="s">
        <v>32</v>
      </c>
      <c r="AX44" s="4">
        <v>5</v>
      </c>
      <c r="AY44" s="125">
        <v>34028.36</v>
      </c>
      <c r="AZ44" s="15" t="s">
        <v>33</v>
      </c>
      <c r="BA44" s="4">
        <v>5</v>
      </c>
      <c r="BB44" s="125">
        <v>41044.25</v>
      </c>
      <c r="BC44" s="15" t="s">
        <v>34</v>
      </c>
      <c r="BD44" s="4">
        <v>5</v>
      </c>
      <c r="BE44" s="125">
        <v>41012.550000000003</v>
      </c>
      <c r="BF44" s="15" t="s">
        <v>35</v>
      </c>
      <c r="BG44" s="4">
        <v>5</v>
      </c>
      <c r="BH44" s="125">
        <v>35572.75</v>
      </c>
      <c r="BI44" s="4" t="s">
        <v>705</v>
      </c>
      <c r="BJ44" s="4">
        <v>5</v>
      </c>
      <c r="BK44" s="125">
        <v>19408.650000000001</v>
      </c>
      <c r="BL44" s="15" t="s">
        <v>706</v>
      </c>
      <c r="BM44" s="4">
        <v>5</v>
      </c>
      <c r="BN44" s="124">
        <v>16896.28</v>
      </c>
      <c r="BO44" s="15" t="s">
        <v>707</v>
      </c>
      <c r="BP44" s="4">
        <v>5</v>
      </c>
      <c r="BQ44" s="125">
        <v>18164.259999999998</v>
      </c>
      <c r="BR44" s="4" t="s">
        <v>708</v>
      </c>
      <c r="BS44" s="4">
        <v>5</v>
      </c>
      <c r="BT44" s="125">
        <v>19517.64</v>
      </c>
      <c r="BU44" s="4" t="s">
        <v>709</v>
      </c>
      <c r="BV44" s="4">
        <v>5</v>
      </c>
      <c r="BW44" s="125">
        <v>20931.97</v>
      </c>
      <c r="BX44"/>
      <c r="BY44"/>
      <c r="BZ44"/>
      <c r="CA44"/>
      <c r="CB44"/>
      <c r="CC44"/>
      <c r="CD44"/>
    </row>
    <row r="45" spans="16:82" x14ac:dyDescent="0.2">
      <c r="P45" s="15" t="s">
        <v>21</v>
      </c>
      <c r="Q45" s="4">
        <v>6</v>
      </c>
      <c r="R45" s="125">
        <v>24688.75</v>
      </c>
      <c r="S45" s="124" t="s">
        <v>22</v>
      </c>
      <c r="T45" s="4">
        <v>6</v>
      </c>
      <c r="U45" s="124">
        <v>28367.48</v>
      </c>
      <c r="V45" s="15" t="s">
        <v>23</v>
      </c>
      <c r="W45" s="4">
        <v>6</v>
      </c>
      <c r="X45" s="125">
        <v>30846.400000000001</v>
      </c>
      <c r="Y45" s="15" t="s">
        <v>24</v>
      </c>
      <c r="Z45" s="4">
        <v>6</v>
      </c>
      <c r="AA45" s="125">
        <v>34019.449999999997</v>
      </c>
      <c r="AB45" s="15" t="s">
        <v>25</v>
      </c>
      <c r="AC45" s="4">
        <v>6</v>
      </c>
      <c r="AD45" s="125">
        <v>40663</v>
      </c>
      <c r="AE45" s="15" t="s">
        <v>26</v>
      </c>
      <c r="AF45" s="4">
        <v>6</v>
      </c>
      <c r="AG45" s="125">
        <v>42175.15</v>
      </c>
      <c r="AH45" s="4" t="s">
        <v>27</v>
      </c>
      <c r="AI45" s="4">
        <v>6</v>
      </c>
      <c r="AJ45" s="124">
        <v>42894.04</v>
      </c>
      <c r="AK45" s="15" t="s">
        <v>28</v>
      </c>
      <c r="AL45" s="4">
        <v>6</v>
      </c>
      <c r="AM45" s="124">
        <v>47232.15</v>
      </c>
      <c r="AN45" s="15" t="s">
        <v>29</v>
      </c>
      <c r="AO45" s="4">
        <v>6</v>
      </c>
      <c r="AP45" s="125">
        <v>38731.93</v>
      </c>
      <c r="AQ45" s="15" t="s">
        <v>30</v>
      </c>
      <c r="AR45" s="4">
        <v>6</v>
      </c>
      <c r="AS45" s="125">
        <v>30651.56</v>
      </c>
      <c r="AT45" s="15" t="s">
        <v>31</v>
      </c>
      <c r="AU45" s="4">
        <v>6</v>
      </c>
      <c r="AV45" s="125">
        <v>33427.96</v>
      </c>
      <c r="AW45" s="15" t="s">
        <v>32</v>
      </c>
      <c r="AX45" s="4">
        <v>6</v>
      </c>
      <c r="AY45" s="125">
        <v>35000.6</v>
      </c>
      <c r="AZ45" s="15" t="s">
        <v>33</v>
      </c>
      <c r="BA45" s="4">
        <v>6</v>
      </c>
      <c r="BB45" s="125">
        <v>42042.77</v>
      </c>
      <c r="BC45" s="15" t="s">
        <v>34</v>
      </c>
      <c r="BD45" s="4">
        <v>6</v>
      </c>
      <c r="BE45" s="125">
        <v>41998.68</v>
      </c>
      <c r="BF45" s="15" t="s">
        <v>35</v>
      </c>
      <c r="BG45" s="4">
        <v>6</v>
      </c>
      <c r="BH45" s="125">
        <v>36539.54</v>
      </c>
      <c r="BI45" s="4" t="s">
        <v>705</v>
      </c>
      <c r="BJ45" s="4">
        <v>6</v>
      </c>
      <c r="BK45" s="125">
        <v>19755.71</v>
      </c>
      <c r="BL45" s="15" t="s">
        <v>706</v>
      </c>
      <c r="BM45" s="4">
        <v>6</v>
      </c>
      <c r="BN45" s="124">
        <v>16896.28</v>
      </c>
      <c r="BO45" s="15" t="s">
        <v>707</v>
      </c>
      <c r="BP45" s="4">
        <v>6</v>
      </c>
      <c r="BQ45" s="125">
        <v>18164.259999999998</v>
      </c>
      <c r="BR45" s="4" t="s">
        <v>708</v>
      </c>
      <c r="BS45" s="4">
        <v>6</v>
      </c>
      <c r="BT45" s="125">
        <v>19517.64</v>
      </c>
      <c r="BU45" s="4" t="s">
        <v>709</v>
      </c>
      <c r="BV45" s="4">
        <v>6</v>
      </c>
      <c r="BW45" s="125">
        <v>20931.97</v>
      </c>
      <c r="BX45"/>
      <c r="BY45"/>
      <c r="BZ45"/>
      <c r="CA45"/>
      <c r="CB45"/>
      <c r="CC45"/>
      <c r="CD45"/>
    </row>
    <row r="46" spans="16:82" x14ac:dyDescent="0.2">
      <c r="P46" s="15" t="s">
        <v>21</v>
      </c>
      <c r="Q46" s="4">
        <v>7</v>
      </c>
      <c r="R46" s="125">
        <v>25125.05</v>
      </c>
      <c r="S46" s="124" t="s">
        <v>22</v>
      </c>
      <c r="T46" s="4">
        <v>7</v>
      </c>
      <c r="U46" s="124">
        <v>28962.43</v>
      </c>
      <c r="V46" s="15" t="s">
        <v>23</v>
      </c>
      <c r="W46" s="4">
        <v>7</v>
      </c>
      <c r="X46" s="125">
        <v>31689.24</v>
      </c>
      <c r="Y46" s="15" t="s">
        <v>24</v>
      </c>
      <c r="Z46" s="4">
        <v>7</v>
      </c>
      <c r="AA46" s="125">
        <v>34936.660000000003</v>
      </c>
      <c r="AB46" s="15" t="s">
        <v>25</v>
      </c>
      <c r="AC46" s="4">
        <v>7</v>
      </c>
      <c r="AD46" s="125">
        <v>41605</v>
      </c>
      <c r="AE46" s="15" t="s">
        <v>26</v>
      </c>
      <c r="AF46" s="4">
        <v>7</v>
      </c>
      <c r="AG46" s="125">
        <v>43141.94</v>
      </c>
      <c r="AH46" s="4" t="s">
        <v>27</v>
      </c>
      <c r="AI46" s="4">
        <v>7</v>
      </c>
      <c r="AJ46" s="124">
        <v>42894.04</v>
      </c>
      <c r="AK46" s="15" t="s">
        <v>28</v>
      </c>
      <c r="AL46" s="4">
        <v>7</v>
      </c>
      <c r="AM46" s="124">
        <v>47232.15</v>
      </c>
      <c r="AN46" s="15" t="s">
        <v>29</v>
      </c>
      <c r="AO46" s="4">
        <v>7</v>
      </c>
      <c r="AP46" s="125">
        <v>39756.730000000003</v>
      </c>
      <c r="AQ46" s="15" t="s">
        <v>30</v>
      </c>
      <c r="AR46" s="4">
        <v>7</v>
      </c>
      <c r="AS46" s="125">
        <v>31317.9</v>
      </c>
      <c r="AT46" s="15" t="s">
        <v>31</v>
      </c>
      <c r="AU46" s="4">
        <v>7</v>
      </c>
      <c r="AV46" s="125">
        <v>34371.94</v>
      </c>
      <c r="AW46" s="15" t="s">
        <v>32</v>
      </c>
      <c r="AX46" s="4">
        <v>7</v>
      </c>
      <c r="AY46" s="125">
        <v>35972.839999999997</v>
      </c>
      <c r="AZ46" s="15" t="s">
        <v>33</v>
      </c>
      <c r="BA46" s="4">
        <v>7</v>
      </c>
      <c r="BB46" s="125">
        <v>43041.29</v>
      </c>
      <c r="BC46" s="15" t="s">
        <v>34</v>
      </c>
      <c r="BD46" s="4">
        <v>7</v>
      </c>
      <c r="BE46" s="125">
        <v>42984.81</v>
      </c>
      <c r="BF46" s="15" t="s">
        <v>35</v>
      </c>
      <c r="BG46" s="4">
        <v>7</v>
      </c>
      <c r="BH46" s="125">
        <v>37506.33</v>
      </c>
      <c r="BI46" s="4" t="s">
        <v>705</v>
      </c>
      <c r="BJ46" s="4">
        <v>7</v>
      </c>
      <c r="BK46" s="125">
        <v>20102.77</v>
      </c>
      <c r="BL46" s="15" t="s">
        <v>706</v>
      </c>
      <c r="BM46" s="4">
        <v>7</v>
      </c>
      <c r="BN46" s="124">
        <v>17252.62</v>
      </c>
      <c r="BO46" s="15" t="s">
        <v>707</v>
      </c>
      <c r="BP46" s="4">
        <v>7</v>
      </c>
      <c r="BQ46" s="125">
        <v>18879.39</v>
      </c>
      <c r="BR46" s="4" t="s">
        <v>708</v>
      </c>
      <c r="BS46" s="4">
        <v>7</v>
      </c>
      <c r="BT46" s="125">
        <v>19788.310000000001</v>
      </c>
      <c r="BU46" s="4" t="s">
        <v>709</v>
      </c>
      <c r="BV46" s="4">
        <v>7</v>
      </c>
      <c r="BW46" s="125">
        <v>21288.31</v>
      </c>
      <c r="BX46"/>
      <c r="BY46"/>
      <c r="BZ46"/>
      <c r="CA46"/>
      <c r="CB46"/>
      <c r="CC46"/>
      <c r="CD46"/>
    </row>
    <row r="47" spans="16:82" x14ac:dyDescent="0.2">
      <c r="P47" s="15" t="s">
        <v>21</v>
      </c>
      <c r="Q47" s="4">
        <v>8</v>
      </c>
      <c r="R47" s="125">
        <v>25561.35</v>
      </c>
      <c r="S47" s="124" t="s">
        <v>22</v>
      </c>
      <c r="T47" s="4">
        <v>8</v>
      </c>
      <c r="U47" s="124">
        <v>29557.38</v>
      </c>
      <c r="V47" s="15" t="s">
        <v>23</v>
      </c>
      <c r="W47" s="4">
        <v>8</v>
      </c>
      <c r="X47" s="125">
        <v>32532.080000000002</v>
      </c>
      <c r="Y47" s="15" t="s">
        <v>24</v>
      </c>
      <c r="Z47" s="4">
        <v>8</v>
      </c>
      <c r="AA47" s="125">
        <v>35853.870000000003</v>
      </c>
      <c r="AB47" s="15" t="s">
        <v>25</v>
      </c>
      <c r="AC47" s="4">
        <v>8</v>
      </c>
      <c r="AD47" s="125">
        <v>42547</v>
      </c>
      <c r="AE47" s="15" t="s">
        <v>26</v>
      </c>
      <c r="AF47" s="4">
        <v>8</v>
      </c>
      <c r="AG47" s="125">
        <v>44108.73</v>
      </c>
      <c r="AH47" s="4" t="s">
        <v>27</v>
      </c>
      <c r="AI47" s="4">
        <v>8</v>
      </c>
      <c r="AJ47" s="124">
        <v>44381.41</v>
      </c>
      <c r="AK47" s="15" t="s">
        <v>28</v>
      </c>
      <c r="AL47" s="4">
        <v>8</v>
      </c>
      <c r="AM47" s="124">
        <v>48843.46</v>
      </c>
      <c r="AN47" s="15" t="s">
        <v>29</v>
      </c>
      <c r="AO47" s="4">
        <v>8</v>
      </c>
      <c r="AP47" s="125">
        <v>40781.53</v>
      </c>
      <c r="AQ47" s="15" t="s">
        <v>30</v>
      </c>
      <c r="AR47" s="4">
        <v>8</v>
      </c>
      <c r="AS47" s="125">
        <v>31984.240000000002</v>
      </c>
      <c r="AT47" s="15" t="s">
        <v>31</v>
      </c>
      <c r="AU47" s="4">
        <v>8</v>
      </c>
      <c r="AV47" s="125">
        <v>35315.919999999998</v>
      </c>
      <c r="AW47" s="15" t="s">
        <v>32</v>
      </c>
      <c r="AX47" s="4">
        <v>8</v>
      </c>
      <c r="AY47" s="125">
        <v>36945.08</v>
      </c>
      <c r="AZ47" s="15" t="s">
        <v>33</v>
      </c>
      <c r="BA47" s="4">
        <v>8</v>
      </c>
      <c r="BB47" s="125">
        <v>44039.81</v>
      </c>
      <c r="BC47" s="15" t="s">
        <v>34</v>
      </c>
      <c r="BD47" s="4">
        <v>8</v>
      </c>
      <c r="BE47" s="125">
        <v>43970.94</v>
      </c>
      <c r="BF47" s="15" t="s">
        <v>35</v>
      </c>
      <c r="BG47" s="4">
        <v>8</v>
      </c>
      <c r="BH47" s="125">
        <v>38473.120000000003</v>
      </c>
      <c r="BI47" s="4" t="s">
        <v>705</v>
      </c>
      <c r="BJ47" s="4">
        <v>8</v>
      </c>
      <c r="BK47" s="125">
        <v>20449.830000000002</v>
      </c>
      <c r="BL47" s="15" t="s">
        <v>706</v>
      </c>
      <c r="BM47" s="4">
        <v>8</v>
      </c>
      <c r="BN47" s="124">
        <v>17252.62</v>
      </c>
      <c r="BO47" s="15" t="s">
        <v>707</v>
      </c>
      <c r="BP47" s="4">
        <v>8</v>
      </c>
      <c r="BQ47" s="125">
        <v>18879.39</v>
      </c>
      <c r="BR47" s="4" t="s">
        <v>708</v>
      </c>
      <c r="BS47" s="4">
        <v>8</v>
      </c>
      <c r="BT47" s="125">
        <v>19788.310000000001</v>
      </c>
      <c r="BU47" s="4" t="s">
        <v>709</v>
      </c>
      <c r="BV47" s="4">
        <v>8</v>
      </c>
      <c r="BW47" s="125">
        <v>21288.31</v>
      </c>
      <c r="BX47"/>
      <c r="BY47"/>
      <c r="BZ47"/>
      <c r="CA47"/>
      <c r="CB47"/>
      <c r="CC47"/>
      <c r="CD47"/>
    </row>
    <row r="48" spans="16:82" x14ac:dyDescent="0.2">
      <c r="P48" s="15" t="s">
        <v>21</v>
      </c>
      <c r="Q48" s="4">
        <v>9</v>
      </c>
      <c r="R48" s="125">
        <v>25997.65</v>
      </c>
      <c r="S48" s="124" t="s">
        <v>22</v>
      </c>
      <c r="T48" s="4">
        <v>9</v>
      </c>
      <c r="U48" s="124">
        <v>30152.33</v>
      </c>
      <c r="V48" s="15" t="s">
        <v>23</v>
      </c>
      <c r="W48" s="4">
        <v>9</v>
      </c>
      <c r="X48" s="125">
        <v>33374.92</v>
      </c>
      <c r="Y48" s="15" t="s">
        <v>24</v>
      </c>
      <c r="Z48" s="4">
        <v>9</v>
      </c>
      <c r="AA48" s="125">
        <v>36771.08</v>
      </c>
      <c r="AB48" s="15" t="s">
        <v>25</v>
      </c>
      <c r="AC48" s="4">
        <v>9</v>
      </c>
      <c r="AD48" s="125">
        <v>43489</v>
      </c>
      <c r="AE48" s="15" t="s">
        <v>26</v>
      </c>
      <c r="AF48" s="4">
        <v>9</v>
      </c>
      <c r="AG48" s="125">
        <v>45075.519999999997</v>
      </c>
      <c r="AH48" s="4" t="s">
        <v>27</v>
      </c>
      <c r="AI48" s="4">
        <v>9</v>
      </c>
      <c r="AJ48" s="124">
        <v>44381.41</v>
      </c>
      <c r="AK48" s="15" t="s">
        <v>28</v>
      </c>
      <c r="AL48" s="4">
        <v>9</v>
      </c>
      <c r="AM48" s="124">
        <v>48843.46</v>
      </c>
      <c r="AN48" s="15" t="s">
        <v>29</v>
      </c>
      <c r="AO48" s="4">
        <v>9</v>
      </c>
      <c r="AP48" s="125">
        <v>41806.33</v>
      </c>
      <c r="AQ48" s="15" t="s">
        <v>30</v>
      </c>
      <c r="AR48" s="4">
        <v>9</v>
      </c>
      <c r="AS48" s="125">
        <v>32650.58</v>
      </c>
      <c r="AT48" s="15" t="s">
        <v>31</v>
      </c>
      <c r="AU48" s="4">
        <v>9</v>
      </c>
      <c r="AV48" s="125">
        <v>36259.9</v>
      </c>
      <c r="AW48" s="15" t="s">
        <v>32</v>
      </c>
      <c r="AX48" s="4">
        <v>9</v>
      </c>
      <c r="AY48" s="125">
        <v>37917.32</v>
      </c>
      <c r="AZ48" s="15" t="s">
        <v>33</v>
      </c>
      <c r="BA48" s="4">
        <v>9</v>
      </c>
      <c r="BB48" s="125">
        <v>45038.33</v>
      </c>
      <c r="BC48" s="15" t="s">
        <v>34</v>
      </c>
      <c r="BD48" s="4">
        <v>9</v>
      </c>
      <c r="BE48" s="125">
        <v>44957.07</v>
      </c>
      <c r="BF48" s="15" t="s">
        <v>35</v>
      </c>
      <c r="BG48" s="4">
        <v>9</v>
      </c>
      <c r="BH48" s="125">
        <v>39439.910000000003</v>
      </c>
      <c r="BI48" s="4" t="s">
        <v>705</v>
      </c>
      <c r="BJ48" s="4">
        <v>9</v>
      </c>
      <c r="BK48" s="125">
        <v>20616.89</v>
      </c>
      <c r="BL48" s="15" t="s">
        <v>706</v>
      </c>
      <c r="BM48" s="4">
        <v>9</v>
      </c>
      <c r="BN48" s="124">
        <v>17696.23</v>
      </c>
      <c r="BO48" s="15" t="s">
        <v>707</v>
      </c>
      <c r="BP48" s="4">
        <v>9</v>
      </c>
      <c r="BQ48" s="125">
        <v>19414.52</v>
      </c>
      <c r="BR48" s="4" t="s">
        <v>708</v>
      </c>
      <c r="BS48" s="4">
        <v>9</v>
      </c>
      <c r="BT48" s="125">
        <v>20411.919999999998</v>
      </c>
      <c r="BU48" s="4" t="s">
        <v>709</v>
      </c>
      <c r="BV48" s="4">
        <v>9</v>
      </c>
      <c r="BW48" s="125">
        <v>21911.919999999998</v>
      </c>
      <c r="BX48"/>
      <c r="BY48"/>
      <c r="BZ48"/>
      <c r="CA48"/>
      <c r="CB48"/>
      <c r="CC48"/>
      <c r="CD48"/>
    </row>
    <row r="49" spans="16:82" x14ac:dyDescent="0.2">
      <c r="P49" s="15" t="s">
        <v>21</v>
      </c>
      <c r="Q49" s="4">
        <v>10</v>
      </c>
      <c r="R49" s="125">
        <v>26433.95</v>
      </c>
      <c r="S49" s="124" t="s">
        <v>22</v>
      </c>
      <c r="T49" s="4">
        <v>10</v>
      </c>
      <c r="U49" s="124">
        <v>30747.279999999999</v>
      </c>
      <c r="V49" s="15" t="s">
        <v>23</v>
      </c>
      <c r="W49" s="4">
        <v>10</v>
      </c>
      <c r="X49" s="125">
        <v>34217.760000000002</v>
      </c>
      <c r="Y49" s="15" t="s">
        <v>24</v>
      </c>
      <c r="Z49" s="4">
        <v>10</v>
      </c>
      <c r="AA49" s="125">
        <v>37688.29</v>
      </c>
      <c r="AB49" s="15" t="s">
        <v>25</v>
      </c>
      <c r="AC49" s="4">
        <v>10</v>
      </c>
      <c r="AD49" s="125">
        <v>44431</v>
      </c>
      <c r="AE49" s="15" t="s">
        <v>26</v>
      </c>
      <c r="AF49" s="4">
        <v>10</v>
      </c>
      <c r="AG49" s="125">
        <v>46042.31</v>
      </c>
      <c r="AH49" s="4" t="s">
        <v>27</v>
      </c>
      <c r="AI49" s="4">
        <v>10</v>
      </c>
      <c r="AJ49" s="124">
        <v>45868.78</v>
      </c>
      <c r="AK49" s="15" t="s">
        <v>28</v>
      </c>
      <c r="AL49" s="4">
        <v>10</v>
      </c>
      <c r="AM49" s="124">
        <v>50454.77</v>
      </c>
      <c r="AN49" s="15" t="s">
        <v>29</v>
      </c>
      <c r="AO49" s="4">
        <v>10</v>
      </c>
      <c r="AP49" s="125">
        <v>42831.13</v>
      </c>
      <c r="AQ49" s="15" t="s">
        <v>30</v>
      </c>
      <c r="AR49" s="4">
        <v>10</v>
      </c>
      <c r="AS49" s="125">
        <v>33316.92</v>
      </c>
      <c r="AT49" s="15" t="s">
        <v>31</v>
      </c>
      <c r="AU49" s="4">
        <v>10</v>
      </c>
      <c r="AV49" s="125">
        <v>37203.879999999997</v>
      </c>
      <c r="AW49" s="15" t="s">
        <v>32</v>
      </c>
      <c r="AX49" s="4">
        <v>10</v>
      </c>
      <c r="AY49" s="125">
        <v>38889.56</v>
      </c>
      <c r="AZ49" s="15" t="s">
        <v>33</v>
      </c>
      <c r="BA49" s="4">
        <v>10</v>
      </c>
      <c r="BB49" s="125">
        <v>46036.85</v>
      </c>
      <c r="BC49" s="15" t="s">
        <v>34</v>
      </c>
      <c r="BD49" s="4">
        <v>10</v>
      </c>
      <c r="BE49" s="125">
        <v>45943.199999999997</v>
      </c>
      <c r="BF49" s="15" t="s">
        <v>35</v>
      </c>
      <c r="BG49" s="4">
        <v>10</v>
      </c>
      <c r="BH49" s="125">
        <v>40406.699999999997</v>
      </c>
      <c r="BI49" s="4" t="s">
        <v>705</v>
      </c>
      <c r="BJ49" s="4">
        <v>10</v>
      </c>
      <c r="BK49" s="125">
        <v>20963.95</v>
      </c>
      <c r="BL49" s="15" t="s">
        <v>706</v>
      </c>
      <c r="BM49" s="4">
        <v>10</v>
      </c>
      <c r="BN49" s="124">
        <v>17696.23</v>
      </c>
      <c r="BO49" s="15" t="s">
        <v>707</v>
      </c>
      <c r="BP49" s="4">
        <v>10</v>
      </c>
      <c r="BQ49" s="125">
        <v>19414.52</v>
      </c>
      <c r="BR49" s="4" t="s">
        <v>708</v>
      </c>
      <c r="BS49" s="4">
        <v>10</v>
      </c>
      <c r="BT49" s="125">
        <v>20411.919999999998</v>
      </c>
      <c r="BU49" s="4" t="s">
        <v>709</v>
      </c>
      <c r="BV49" s="4">
        <v>10</v>
      </c>
      <c r="BW49" s="125">
        <v>21911.919999999998</v>
      </c>
      <c r="BX49"/>
      <c r="BY49"/>
      <c r="BZ49"/>
      <c r="CA49"/>
      <c r="CB49"/>
      <c r="CC49"/>
      <c r="CD49"/>
    </row>
    <row r="50" spans="16:82" x14ac:dyDescent="0.2">
      <c r="P50" s="15" t="s">
        <v>21</v>
      </c>
      <c r="Q50" s="4">
        <v>11</v>
      </c>
      <c r="R50" s="125">
        <v>26870.25</v>
      </c>
      <c r="S50" s="124" t="s">
        <v>22</v>
      </c>
      <c r="T50" s="4">
        <v>11</v>
      </c>
      <c r="U50" s="124">
        <v>31342.23</v>
      </c>
      <c r="V50" s="15" t="s">
        <v>23</v>
      </c>
      <c r="W50" s="4">
        <v>11</v>
      </c>
      <c r="X50" s="125">
        <v>34961.449999999997</v>
      </c>
      <c r="Y50" s="15" t="s">
        <v>24</v>
      </c>
      <c r="Z50" s="4">
        <v>11</v>
      </c>
      <c r="AA50" s="125">
        <v>38580.71</v>
      </c>
      <c r="AB50" s="15" t="s">
        <v>25</v>
      </c>
      <c r="AC50" s="4">
        <v>11</v>
      </c>
      <c r="AD50" s="125">
        <v>45373</v>
      </c>
      <c r="AE50" s="15" t="s">
        <v>26</v>
      </c>
      <c r="AF50" s="4">
        <v>11</v>
      </c>
      <c r="AG50" s="125">
        <v>47009.1</v>
      </c>
      <c r="AH50" s="4" t="s">
        <v>27</v>
      </c>
      <c r="AI50" s="4">
        <v>11</v>
      </c>
      <c r="AJ50" s="124">
        <v>45868.78</v>
      </c>
      <c r="AK50" s="15" t="s">
        <v>28</v>
      </c>
      <c r="AL50" s="4">
        <v>11</v>
      </c>
      <c r="AM50" s="124">
        <v>50454.77</v>
      </c>
      <c r="AN50" s="15" t="s">
        <v>29</v>
      </c>
      <c r="AO50" s="4">
        <v>11</v>
      </c>
      <c r="AP50" s="125">
        <v>43855.93</v>
      </c>
      <c r="AQ50" s="15" t="s">
        <v>30</v>
      </c>
      <c r="AR50" s="4">
        <v>11</v>
      </c>
      <c r="AS50" s="125">
        <v>33983.26</v>
      </c>
      <c r="AT50" s="15" t="s">
        <v>31</v>
      </c>
      <c r="AU50" s="4">
        <v>11</v>
      </c>
      <c r="AV50" s="125">
        <v>38036.81</v>
      </c>
      <c r="AW50" s="15" t="s">
        <v>32</v>
      </c>
      <c r="AX50" s="4">
        <v>11</v>
      </c>
      <c r="AY50" s="125">
        <v>39835.53</v>
      </c>
      <c r="AZ50" s="15" t="s">
        <v>33</v>
      </c>
      <c r="BA50" s="4">
        <v>11</v>
      </c>
      <c r="BB50" s="125">
        <v>47035.37</v>
      </c>
      <c r="BC50" s="15" t="s">
        <v>34</v>
      </c>
      <c r="BD50" s="4">
        <v>11</v>
      </c>
      <c r="BE50" s="125">
        <v>46929.33</v>
      </c>
      <c r="BF50" s="15" t="s">
        <v>35</v>
      </c>
      <c r="BG50" s="4">
        <v>11</v>
      </c>
      <c r="BH50" s="125">
        <v>41373.49</v>
      </c>
      <c r="BI50" s="4" t="s">
        <v>705</v>
      </c>
      <c r="BJ50" s="4">
        <v>11</v>
      </c>
      <c r="BK50" s="125">
        <v>21311.01</v>
      </c>
      <c r="BL50" s="15" t="s">
        <v>706</v>
      </c>
      <c r="BM50" s="4">
        <v>11</v>
      </c>
      <c r="BN50" s="124">
        <v>18319.84</v>
      </c>
      <c r="BO50" s="15" t="s">
        <v>707</v>
      </c>
      <c r="BP50" s="4">
        <v>11</v>
      </c>
      <c r="BQ50" s="125">
        <v>19769.650000000001</v>
      </c>
      <c r="BR50" s="4" t="s">
        <v>708</v>
      </c>
      <c r="BS50" s="4">
        <v>11</v>
      </c>
      <c r="BT50" s="125">
        <v>21035.53</v>
      </c>
      <c r="BU50" s="4" t="s">
        <v>709</v>
      </c>
      <c r="BV50" s="4">
        <v>11</v>
      </c>
      <c r="BW50" s="125">
        <v>22535.53</v>
      </c>
      <c r="BX50"/>
      <c r="BY50"/>
      <c r="BZ50"/>
      <c r="CA50"/>
      <c r="CB50"/>
      <c r="CC50"/>
      <c r="CD50"/>
    </row>
    <row r="51" spans="16:82" x14ac:dyDescent="0.2">
      <c r="P51" s="15" t="s">
        <v>21</v>
      </c>
      <c r="Q51" s="4">
        <v>12</v>
      </c>
      <c r="R51" s="125">
        <v>27306.55</v>
      </c>
      <c r="S51" s="124" t="s">
        <v>22</v>
      </c>
      <c r="T51" s="4">
        <v>12</v>
      </c>
      <c r="U51" s="124">
        <v>31937.18</v>
      </c>
      <c r="V51" s="15" t="s">
        <v>23</v>
      </c>
      <c r="W51" s="4">
        <v>12</v>
      </c>
      <c r="X51" s="125">
        <v>35705.14</v>
      </c>
      <c r="Y51" s="15" t="s">
        <v>24</v>
      </c>
      <c r="Z51" s="4">
        <v>12</v>
      </c>
      <c r="AA51" s="125">
        <v>39473.129999999997</v>
      </c>
      <c r="AB51" s="15" t="s">
        <v>25</v>
      </c>
      <c r="AC51" s="4">
        <v>12</v>
      </c>
      <c r="AD51" s="125">
        <v>46315</v>
      </c>
      <c r="AE51" s="15" t="s">
        <v>26</v>
      </c>
      <c r="AF51" s="4">
        <v>12</v>
      </c>
      <c r="AG51" s="125">
        <v>47975.89</v>
      </c>
      <c r="AH51" s="4" t="s">
        <v>27</v>
      </c>
      <c r="AI51" s="4">
        <v>12</v>
      </c>
      <c r="AJ51" s="124">
        <v>47356.15</v>
      </c>
      <c r="AK51" s="15" t="s">
        <v>28</v>
      </c>
      <c r="AL51" s="4">
        <v>12</v>
      </c>
      <c r="AM51" s="124">
        <v>52066.080000000002</v>
      </c>
      <c r="AN51" s="15" t="s">
        <v>29</v>
      </c>
      <c r="AO51" s="4">
        <v>12</v>
      </c>
      <c r="AP51" s="125">
        <v>44880.73</v>
      </c>
      <c r="AQ51" s="15" t="s">
        <v>30</v>
      </c>
      <c r="AR51" s="4">
        <v>12</v>
      </c>
      <c r="AS51" s="125">
        <v>34649.599999999999</v>
      </c>
      <c r="AT51" s="15" t="s">
        <v>31</v>
      </c>
      <c r="AU51" s="4">
        <v>12</v>
      </c>
      <c r="AV51" s="125">
        <v>38869.74</v>
      </c>
      <c r="AW51" s="15" t="s">
        <v>32</v>
      </c>
      <c r="AX51" s="4">
        <v>12</v>
      </c>
      <c r="AY51" s="125">
        <v>40781.5</v>
      </c>
      <c r="AZ51" s="15" t="s">
        <v>33</v>
      </c>
      <c r="BA51" s="4">
        <v>12</v>
      </c>
      <c r="BB51" s="125">
        <v>48033.89</v>
      </c>
      <c r="BC51" s="15" t="s">
        <v>34</v>
      </c>
      <c r="BD51" s="4">
        <v>12</v>
      </c>
      <c r="BE51" s="125">
        <v>47915.46</v>
      </c>
      <c r="BF51" s="15" t="s">
        <v>35</v>
      </c>
      <c r="BG51" s="4">
        <v>12</v>
      </c>
      <c r="BH51" s="125">
        <v>42340.28</v>
      </c>
      <c r="BI51" s="4" t="s">
        <v>705</v>
      </c>
      <c r="BJ51" s="4">
        <v>12</v>
      </c>
      <c r="BK51" s="125">
        <v>21658.07</v>
      </c>
      <c r="BL51" s="15" t="s">
        <v>706</v>
      </c>
      <c r="BM51" s="4">
        <v>12</v>
      </c>
      <c r="BN51" s="124">
        <v>18319.84</v>
      </c>
      <c r="BO51" s="15" t="s">
        <v>707</v>
      </c>
      <c r="BP51" s="4">
        <v>12</v>
      </c>
      <c r="BQ51" s="125">
        <v>19769.650000000001</v>
      </c>
      <c r="BR51" s="4" t="s">
        <v>708</v>
      </c>
      <c r="BS51" s="4">
        <v>12</v>
      </c>
      <c r="BT51" s="125">
        <v>21035.53</v>
      </c>
      <c r="BU51" s="4" t="s">
        <v>709</v>
      </c>
      <c r="BV51" s="4">
        <v>12</v>
      </c>
      <c r="BW51" s="125">
        <v>22535.53</v>
      </c>
      <c r="BX51"/>
      <c r="BY51"/>
      <c r="BZ51"/>
      <c r="CA51"/>
      <c r="CB51"/>
      <c r="CC51"/>
      <c r="CD51"/>
    </row>
    <row r="52" spans="16:82" x14ac:dyDescent="0.2">
      <c r="P52" s="15" t="s">
        <v>21</v>
      </c>
      <c r="Q52" s="4">
        <v>13</v>
      </c>
      <c r="R52" s="125">
        <v>27742.85</v>
      </c>
      <c r="S52" s="124" t="s">
        <v>22</v>
      </c>
      <c r="T52" s="4">
        <v>13</v>
      </c>
      <c r="U52" s="124">
        <v>32532.13</v>
      </c>
      <c r="V52" s="15" t="s">
        <v>23</v>
      </c>
      <c r="W52" s="4">
        <v>13</v>
      </c>
      <c r="X52" s="125">
        <v>36101.769999999997</v>
      </c>
      <c r="Y52" s="15" t="s">
        <v>24</v>
      </c>
      <c r="Z52" s="4">
        <v>13</v>
      </c>
      <c r="AA52" s="125">
        <v>39894.550000000003</v>
      </c>
      <c r="AB52" s="15" t="s">
        <v>25</v>
      </c>
      <c r="AC52" s="4">
        <v>13</v>
      </c>
      <c r="AD52" s="125">
        <v>46550.5</v>
      </c>
      <c r="AE52" s="15" t="s">
        <v>26</v>
      </c>
      <c r="AF52" s="4">
        <v>13</v>
      </c>
      <c r="AG52" s="125">
        <v>48347.74</v>
      </c>
      <c r="AH52" s="4" t="s">
        <v>27</v>
      </c>
      <c r="AI52" s="4">
        <v>13</v>
      </c>
      <c r="AJ52" s="124">
        <v>47356.15</v>
      </c>
      <c r="AK52" s="15" t="s">
        <v>28</v>
      </c>
      <c r="AL52" s="4">
        <v>13</v>
      </c>
      <c r="AM52" s="124">
        <v>52066.080000000002</v>
      </c>
      <c r="AN52" s="15" t="s">
        <v>29</v>
      </c>
      <c r="AO52" s="4">
        <v>13</v>
      </c>
      <c r="AP52" s="125">
        <v>45353.72</v>
      </c>
      <c r="AQ52" s="15" t="s">
        <v>30</v>
      </c>
      <c r="AR52" s="4">
        <v>13</v>
      </c>
      <c r="AS52" s="125">
        <v>35315.94</v>
      </c>
      <c r="AT52" s="15" t="s">
        <v>31</v>
      </c>
      <c r="AU52" s="4">
        <v>13</v>
      </c>
      <c r="AV52" s="125">
        <v>39313.97</v>
      </c>
      <c r="AW52" s="15" t="s">
        <v>32</v>
      </c>
      <c r="AX52" s="4">
        <v>13</v>
      </c>
      <c r="AY52" s="125">
        <v>41228.21</v>
      </c>
      <c r="AZ52" s="15" t="s">
        <v>33</v>
      </c>
      <c r="BA52" s="4">
        <v>13</v>
      </c>
      <c r="BB52" s="125">
        <v>48283.519999999997</v>
      </c>
      <c r="BC52" s="15" t="s">
        <v>34</v>
      </c>
      <c r="BD52" s="4">
        <v>13</v>
      </c>
      <c r="BE52" s="125">
        <v>48294.74</v>
      </c>
      <c r="BF52" s="15" t="s">
        <v>35</v>
      </c>
      <c r="BG52" s="4">
        <v>13</v>
      </c>
      <c r="BH52" s="125">
        <v>42786.49</v>
      </c>
      <c r="BI52" s="4" t="s">
        <v>705</v>
      </c>
      <c r="BJ52" s="4">
        <v>13</v>
      </c>
      <c r="BK52" s="125">
        <v>22005.13</v>
      </c>
      <c r="BL52" s="15" t="s">
        <v>706</v>
      </c>
      <c r="BM52" s="4">
        <v>13</v>
      </c>
      <c r="BN52" s="124">
        <v>19123.45</v>
      </c>
      <c r="BO52" s="15" t="s">
        <v>707</v>
      </c>
      <c r="BP52" s="4">
        <v>13</v>
      </c>
      <c r="BQ52" s="125">
        <v>20304.78</v>
      </c>
      <c r="BR52" s="4" t="s">
        <v>708</v>
      </c>
      <c r="BS52" s="4">
        <v>13</v>
      </c>
      <c r="BT52" s="125">
        <v>21659.14</v>
      </c>
      <c r="BU52" s="4" t="s">
        <v>709</v>
      </c>
      <c r="BV52" s="4">
        <v>13</v>
      </c>
      <c r="BW52" s="125">
        <v>23159.14</v>
      </c>
      <c r="BX52"/>
      <c r="BY52"/>
      <c r="BZ52"/>
      <c r="CA52"/>
      <c r="CB52"/>
      <c r="CC52"/>
      <c r="CD52"/>
    </row>
    <row r="53" spans="16:82" x14ac:dyDescent="0.2">
      <c r="P53" s="15" t="s">
        <v>21</v>
      </c>
      <c r="Q53" s="4">
        <v>14</v>
      </c>
      <c r="R53" s="125">
        <v>27993.23</v>
      </c>
      <c r="S53" s="124" t="s">
        <v>22</v>
      </c>
      <c r="T53" s="4">
        <v>14</v>
      </c>
      <c r="U53" s="124">
        <v>32879.19</v>
      </c>
      <c r="V53" s="15" t="s">
        <v>23</v>
      </c>
      <c r="W53" s="4">
        <v>14</v>
      </c>
      <c r="X53" s="125">
        <v>36498.400000000001</v>
      </c>
      <c r="Y53" s="15" t="s">
        <v>24</v>
      </c>
      <c r="Z53" s="4">
        <v>14</v>
      </c>
      <c r="AA53" s="125">
        <v>40315.97</v>
      </c>
      <c r="AB53" s="15" t="s">
        <v>25</v>
      </c>
      <c r="AC53" s="4">
        <v>14</v>
      </c>
      <c r="AD53" s="125">
        <v>46786</v>
      </c>
      <c r="AE53" s="15" t="s">
        <v>26</v>
      </c>
      <c r="AF53" s="4">
        <v>14</v>
      </c>
      <c r="AG53" s="125">
        <v>48719.59</v>
      </c>
      <c r="AH53" s="4" t="s">
        <v>27</v>
      </c>
      <c r="AI53" s="4">
        <v>14</v>
      </c>
      <c r="AJ53" s="124">
        <v>48843.519999999997</v>
      </c>
      <c r="AK53" s="15" t="s">
        <v>28</v>
      </c>
      <c r="AL53" s="4">
        <v>14</v>
      </c>
      <c r="AM53" s="124">
        <v>53677.39</v>
      </c>
      <c r="AN53" s="15" t="s">
        <v>29</v>
      </c>
      <c r="AO53" s="4">
        <v>14</v>
      </c>
      <c r="AP53" s="125">
        <v>45826.71</v>
      </c>
      <c r="AQ53" s="15" t="s">
        <v>30</v>
      </c>
      <c r="AR53" s="4">
        <v>14</v>
      </c>
      <c r="AS53" s="125">
        <v>35704.639999999999</v>
      </c>
      <c r="AT53" s="15" t="s">
        <v>31</v>
      </c>
      <c r="AU53" s="4">
        <v>14</v>
      </c>
      <c r="AV53" s="125">
        <v>39758.199999999997</v>
      </c>
      <c r="AW53" s="15" t="s">
        <v>32</v>
      </c>
      <c r="AX53" s="4">
        <v>14</v>
      </c>
      <c r="AY53" s="125">
        <v>41674.92</v>
      </c>
      <c r="AZ53" s="15" t="s">
        <v>33</v>
      </c>
      <c r="BA53" s="4">
        <v>14</v>
      </c>
      <c r="BB53" s="125">
        <v>48533.15</v>
      </c>
      <c r="BC53" s="15" t="s">
        <v>34</v>
      </c>
      <c r="BD53" s="4">
        <v>14</v>
      </c>
      <c r="BE53" s="125">
        <v>48674.02</v>
      </c>
      <c r="BF53" s="15" t="s">
        <v>35</v>
      </c>
      <c r="BG53" s="4">
        <v>14</v>
      </c>
      <c r="BH53" s="125">
        <v>43232.7</v>
      </c>
      <c r="BI53" s="4" t="s">
        <v>705</v>
      </c>
      <c r="BJ53" s="4">
        <v>14</v>
      </c>
      <c r="BK53" s="125">
        <v>22203.45</v>
      </c>
      <c r="BL53" s="15" t="s">
        <v>706</v>
      </c>
      <c r="BM53" s="4">
        <v>14</v>
      </c>
      <c r="BN53" s="124">
        <v>19123.45</v>
      </c>
      <c r="BO53" s="15" t="s">
        <v>707</v>
      </c>
      <c r="BP53" s="4">
        <v>14</v>
      </c>
      <c r="BQ53" s="125">
        <v>20304.78</v>
      </c>
      <c r="BR53" s="4" t="s">
        <v>708</v>
      </c>
      <c r="BS53" s="4">
        <v>14</v>
      </c>
      <c r="BT53" s="125">
        <v>21659.14</v>
      </c>
      <c r="BU53" s="4" t="s">
        <v>709</v>
      </c>
      <c r="BV53" s="4">
        <v>14</v>
      </c>
      <c r="BW53" s="125">
        <v>23159.14</v>
      </c>
      <c r="BX53"/>
      <c r="BY53"/>
      <c r="BZ53"/>
      <c r="CA53"/>
      <c r="CB53"/>
      <c r="CC53"/>
      <c r="CD53"/>
    </row>
    <row r="54" spans="16:82" x14ac:dyDescent="0.2">
      <c r="P54" s="15" t="s">
        <v>21</v>
      </c>
      <c r="Q54" s="4">
        <v>15</v>
      </c>
      <c r="R54" s="125">
        <v>28243.61</v>
      </c>
      <c r="S54" s="124" t="s">
        <v>22</v>
      </c>
      <c r="T54" s="4">
        <v>15</v>
      </c>
      <c r="U54" s="124">
        <v>33226.25</v>
      </c>
      <c r="V54" s="15" t="s">
        <v>23</v>
      </c>
      <c r="W54" s="4">
        <v>15</v>
      </c>
      <c r="X54" s="125">
        <v>36895.03</v>
      </c>
      <c r="Y54" s="15" t="s">
        <v>24</v>
      </c>
      <c r="Z54" s="4">
        <v>15</v>
      </c>
      <c r="AA54" s="125">
        <v>40737.39</v>
      </c>
      <c r="AB54" s="15" t="s">
        <v>25</v>
      </c>
      <c r="AC54" s="4">
        <v>15</v>
      </c>
      <c r="AD54" s="125">
        <v>47021.5</v>
      </c>
      <c r="AE54" s="15" t="s">
        <v>26</v>
      </c>
      <c r="AF54" s="4">
        <v>15</v>
      </c>
      <c r="AG54" s="125">
        <v>49091.44</v>
      </c>
      <c r="AH54" s="4" t="s">
        <v>27</v>
      </c>
      <c r="AI54" s="4">
        <v>15</v>
      </c>
      <c r="AJ54" s="124">
        <v>48843.519999999997</v>
      </c>
      <c r="AK54" s="15" t="s">
        <v>28</v>
      </c>
      <c r="AL54" s="4">
        <v>15</v>
      </c>
      <c r="AM54" s="124">
        <v>53677.39</v>
      </c>
      <c r="AN54" s="15" t="s">
        <v>29</v>
      </c>
      <c r="AO54" s="4">
        <v>15</v>
      </c>
      <c r="AP54" s="125">
        <v>46299.7</v>
      </c>
      <c r="AQ54" s="15" t="s">
        <v>30</v>
      </c>
      <c r="AR54" s="4">
        <v>15</v>
      </c>
      <c r="AS54" s="125">
        <v>36093.339999999997</v>
      </c>
      <c r="AT54" s="15" t="s">
        <v>31</v>
      </c>
      <c r="AU54" s="4">
        <v>15</v>
      </c>
      <c r="AV54" s="125">
        <v>40202.43</v>
      </c>
      <c r="AW54" s="15" t="s">
        <v>32</v>
      </c>
      <c r="AX54" s="4">
        <v>15</v>
      </c>
      <c r="AY54" s="125">
        <v>42121.63</v>
      </c>
      <c r="AZ54" s="15" t="s">
        <v>33</v>
      </c>
      <c r="BA54" s="4">
        <v>15</v>
      </c>
      <c r="BB54" s="125">
        <v>48782.78</v>
      </c>
      <c r="BC54" s="15" t="s">
        <v>34</v>
      </c>
      <c r="BD54" s="4">
        <v>15</v>
      </c>
      <c r="BE54" s="125">
        <v>49053.3</v>
      </c>
      <c r="BF54" s="15" t="s">
        <v>35</v>
      </c>
      <c r="BG54" s="4">
        <v>15</v>
      </c>
      <c r="BH54" s="125">
        <v>43678.91</v>
      </c>
      <c r="BI54" s="4" t="s">
        <v>705</v>
      </c>
      <c r="BJ54" s="4">
        <v>15</v>
      </c>
      <c r="BK54" s="125">
        <v>22401.77</v>
      </c>
      <c r="BL54" s="15" t="s">
        <v>706</v>
      </c>
      <c r="BM54" s="4">
        <v>15</v>
      </c>
      <c r="BN54" s="124">
        <v>19567.060000000001</v>
      </c>
      <c r="BO54" s="15" t="s">
        <v>707</v>
      </c>
      <c r="BP54" s="4">
        <v>15</v>
      </c>
      <c r="BQ54" s="125">
        <v>20839.91</v>
      </c>
      <c r="BR54" s="4" t="s">
        <v>708</v>
      </c>
      <c r="BS54" s="4">
        <v>15</v>
      </c>
      <c r="BT54" s="125">
        <v>22282.75</v>
      </c>
      <c r="BU54" s="4" t="s">
        <v>709</v>
      </c>
      <c r="BV54" s="4">
        <v>15</v>
      </c>
      <c r="BW54" s="125">
        <v>23782.75</v>
      </c>
      <c r="BX54"/>
      <c r="BY54"/>
      <c r="BZ54"/>
      <c r="CA54"/>
      <c r="CB54"/>
      <c r="CC54"/>
      <c r="CD54"/>
    </row>
    <row r="55" spans="16:82" x14ac:dyDescent="0.2">
      <c r="P55" s="15" t="s">
        <v>21</v>
      </c>
      <c r="Q55" s="4">
        <v>16</v>
      </c>
      <c r="R55" s="125">
        <v>28493.99</v>
      </c>
      <c r="S55" s="124" t="s">
        <v>22</v>
      </c>
      <c r="T55" s="4">
        <v>16</v>
      </c>
      <c r="U55" s="124">
        <v>33548.519999999997</v>
      </c>
      <c r="V55" s="15" t="s">
        <v>23</v>
      </c>
      <c r="W55" s="4">
        <v>16</v>
      </c>
      <c r="X55" s="125">
        <v>37291.660000000003</v>
      </c>
      <c r="Y55" s="15" t="s">
        <v>24</v>
      </c>
      <c r="Z55" s="4">
        <v>16</v>
      </c>
      <c r="AA55" s="125">
        <v>41158.81</v>
      </c>
      <c r="AB55" s="15" t="s">
        <v>25</v>
      </c>
      <c r="AC55" s="4">
        <v>16</v>
      </c>
      <c r="AD55" s="124">
        <v>47257</v>
      </c>
      <c r="AE55" s="15" t="s">
        <v>26</v>
      </c>
      <c r="AF55" s="4">
        <v>16</v>
      </c>
      <c r="AG55" s="124">
        <v>49463.29</v>
      </c>
      <c r="AH55" s="4" t="s">
        <v>27</v>
      </c>
      <c r="AI55" s="4">
        <v>16</v>
      </c>
      <c r="AJ55" s="124">
        <v>50330.89</v>
      </c>
      <c r="AK55" s="15" t="s">
        <v>28</v>
      </c>
      <c r="AL55" s="4">
        <v>16</v>
      </c>
      <c r="AM55" s="124">
        <v>55288.7</v>
      </c>
      <c r="AN55" s="15" t="s">
        <v>29</v>
      </c>
      <c r="AO55" s="4">
        <v>16</v>
      </c>
      <c r="AP55" s="125">
        <v>46772.69</v>
      </c>
      <c r="AQ55" s="15" t="s">
        <v>30</v>
      </c>
      <c r="AR55" s="4">
        <v>16</v>
      </c>
      <c r="AS55" s="125">
        <v>36454.28</v>
      </c>
      <c r="AT55" s="15" t="s">
        <v>31</v>
      </c>
      <c r="AU55" s="4">
        <v>16</v>
      </c>
      <c r="AV55" s="125">
        <v>40646.660000000003</v>
      </c>
      <c r="AW55" s="15" t="s">
        <v>32</v>
      </c>
      <c r="AX55" s="4">
        <v>16</v>
      </c>
      <c r="AY55" s="125">
        <v>42568.34</v>
      </c>
      <c r="AZ55" s="15" t="s">
        <v>33</v>
      </c>
      <c r="BA55" s="4">
        <v>16</v>
      </c>
      <c r="BB55" s="125">
        <v>49032.41</v>
      </c>
      <c r="BC55" s="15" t="s">
        <v>34</v>
      </c>
      <c r="BD55" s="4">
        <v>16</v>
      </c>
      <c r="BE55" s="125">
        <v>49432.58</v>
      </c>
      <c r="BF55" s="15" t="s">
        <v>35</v>
      </c>
      <c r="BG55" s="4">
        <v>16</v>
      </c>
      <c r="BH55" s="125">
        <v>44125.120000000003</v>
      </c>
      <c r="BI55" s="4" t="s">
        <v>705</v>
      </c>
      <c r="BJ55" s="4">
        <v>16</v>
      </c>
      <c r="BK55" s="125">
        <v>22590.17</v>
      </c>
      <c r="BL55" s="15" t="s">
        <v>706</v>
      </c>
      <c r="BM55" s="4">
        <v>16</v>
      </c>
      <c r="BN55" s="124">
        <v>19567.060000000001</v>
      </c>
      <c r="BO55" s="15" t="s">
        <v>707</v>
      </c>
      <c r="BP55" s="4">
        <v>16</v>
      </c>
      <c r="BQ55" s="125">
        <v>20839.91</v>
      </c>
      <c r="BR55" s="4" t="s">
        <v>708</v>
      </c>
      <c r="BS55" s="4">
        <v>16</v>
      </c>
      <c r="BT55" s="125">
        <v>22282.75</v>
      </c>
      <c r="BU55" s="4" t="s">
        <v>709</v>
      </c>
      <c r="BV55" s="4">
        <v>16</v>
      </c>
      <c r="BW55" s="125">
        <v>23782.75</v>
      </c>
      <c r="BX55"/>
      <c r="BY55"/>
      <c r="BZ55"/>
      <c r="CA55"/>
      <c r="CB55"/>
      <c r="CC55"/>
      <c r="CD55"/>
    </row>
    <row r="56" spans="16:82" x14ac:dyDescent="0.2">
      <c r="P56" s="15" t="s">
        <v>21</v>
      </c>
      <c r="Q56" s="4">
        <v>17</v>
      </c>
      <c r="R56" s="125">
        <v>28744.37</v>
      </c>
      <c r="S56" s="124" t="s">
        <v>22</v>
      </c>
      <c r="T56" s="4">
        <v>17</v>
      </c>
      <c r="U56" s="124">
        <v>33870.79</v>
      </c>
      <c r="V56" s="15" t="s">
        <v>23</v>
      </c>
      <c r="W56" s="4">
        <v>17</v>
      </c>
      <c r="X56" s="125">
        <v>37688.29</v>
      </c>
      <c r="Y56" s="15" t="s">
        <v>24</v>
      </c>
      <c r="Z56" s="4">
        <v>17</v>
      </c>
      <c r="AA56" s="125">
        <v>41580.230000000003</v>
      </c>
      <c r="AB56" s="15" t="s">
        <v>25</v>
      </c>
      <c r="AC56" s="4">
        <v>17</v>
      </c>
      <c r="AD56" s="125">
        <v>47492.5</v>
      </c>
      <c r="AE56" s="15" t="s">
        <v>26</v>
      </c>
      <c r="AF56" s="4">
        <v>17</v>
      </c>
      <c r="AG56" s="125">
        <v>49835.14</v>
      </c>
      <c r="AH56" s="4" t="s">
        <v>27</v>
      </c>
      <c r="AI56" s="4">
        <v>17</v>
      </c>
      <c r="AJ56" s="124">
        <v>50330.89</v>
      </c>
      <c r="AK56" s="15" t="s">
        <v>28</v>
      </c>
      <c r="AL56" s="4">
        <v>17</v>
      </c>
      <c r="AM56" s="124">
        <v>55288.7</v>
      </c>
      <c r="AN56" s="15" t="s">
        <v>29</v>
      </c>
      <c r="AO56" s="4">
        <v>17</v>
      </c>
      <c r="AP56" s="125">
        <v>47245.68</v>
      </c>
      <c r="AQ56" s="15" t="s">
        <v>30</v>
      </c>
      <c r="AR56" s="4">
        <v>17</v>
      </c>
      <c r="AS56" s="125">
        <v>36815.22</v>
      </c>
      <c r="AT56" s="15" t="s">
        <v>31</v>
      </c>
      <c r="AU56" s="4">
        <v>17</v>
      </c>
      <c r="AV56" s="125">
        <v>41090.89</v>
      </c>
      <c r="AW56" s="15" t="s">
        <v>32</v>
      </c>
      <c r="AX56" s="4">
        <v>17</v>
      </c>
      <c r="AY56" s="125">
        <v>43015.05</v>
      </c>
      <c r="AZ56" s="15" t="s">
        <v>33</v>
      </c>
      <c r="BA56" s="4">
        <v>17</v>
      </c>
      <c r="BB56" s="125">
        <v>49282.04</v>
      </c>
      <c r="BC56" s="15" t="s">
        <v>34</v>
      </c>
      <c r="BD56" s="4">
        <v>17</v>
      </c>
      <c r="BE56" s="125">
        <v>49811.86</v>
      </c>
      <c r="BF56" s="15" t="s">
        <v>35</v>
      </c>
      <c r="BG56" s="4">
        <v>17</v>
      </c>
      <c r="BH56" s="125">
        <v>44571.33</v>
      </c>
      <c r="BI56" s="4" t="s">
        <v>705</v>
      </c>
      <c r="BJ56" s="4">
        <v>17</v>
      </c>
      <c r="BK56" s="125">
        <v>22778.57</v>
      </c>
      <c r="BL56" s="15" t="s">
        <v>706</v>
      </c>
      <c r="BM56" s="4">
        <v>17</v>
      </c>
      <c r="BN56" s="124">
        <v>20190.669999999998</v>
      </c>
      <c r="BO56" s="15" t="s">
        <v>707</v>
      </c>
      <c r="BP56" s="4">
        <v>17</v>
      </c>
      <c r="BQ56" s="125">
        <v>21375.040000000001</v>
      </c>
      <c r="BR56" s="4" t="s">
        <v>708</v>
      </c>
      <c r="BS56" s="4">
        <v>17</v>
      </c>
      <c r="BT56" s="125">
        <v>22906.36</v>
      </c>
      <c r="BU56" s="4" t="s">
        <v>709</v>
      </c>
      <c r="BV56" s="4">
        <v>17</v>
      </c>
      <c r="BW56" s="125">
        <v>24406.36</v>
      </c>
      <c r="BX56"/>
      <c r="BY56"/>
      <c r="BZ56"/>
      <c r="CA56"/>
      <c r="CB56"/>
      <c r="CC56"/>
      <c r="CD56"/>
    </row>
    <row r="57" spans="16:82" x14ac:dyDescent="0.2">
      <c r="P57" s="15" t="s">
        <v>21</v>
      </c>
      <c r="Q57" s="4">
        <v>18</v>
      </c>
      <c r="R57" s="125">
        <v>28994.75</v>
      </c>
      <c r="S57" s="124" t="s">
        <v>22</v>
      </c>
      <c r="T57" s="4">
        <v>18</v>
      </c>
      <c r="U57" s="124">
        <v>34193.06</v>
      </c>
      <c r="V57" s="15" t="s">
        <v>23</v>
      </c>
      <c r="W57" s="4">
        <v>18</v>
      </c>
      <c r="X57" s="125">
        <v>38084.92</v>
      </c>
      <c r="Y57" s="15" t="s">
        <v>24</v>
      </c>
      <c r="Z57" s="4">
        <v>18</v>
      </c>
      <c r="AA57" s="125">
        <v>42001.65</v>
      </c>
      <c r="AB57" s="15" t="s">
        <v>25</v>
      </c>
      <c r="AC57" s="4">
        <v>18</v>
      </c>
      <c r="AD57" s="125">
        <v>47728</v>
      </c>
      <c r="AE57" s="15" t="s">
        <v>26</v>
      </c>
      <c r="AF57" s="4">
        <v>18</v>
      </c>
      <c r="AG57" s="125">
        <v>50206.99</v>
      </c>
      <c r="AH57" s="4" t="s">
        <v>27</v>
      </c>
      <c r="AI57" s="4">
        <v>18</v>
      </c>
      <c r="AJ57" s="124">
        <v>51818.26</v>
      </c>
      <c r="AK57" s="15" t="s">
        <v>28</v>
      </c>
      <c r="AL57" s="4">
        <v>18</v>
      </c>
      <c r="AM57" s="124">
        <v>56900.01</v>
      </c>
      <c r="AN57" s="15" t="s">
        <v>29</v>
      </c>
      <c r="AO57" s="4">
        <v>18</v>
      </c>
      <c r="AP57" s="125">
        <v>47718.67</v>
      </c>
      <c r="AQ57" s="15" t="s">
        <v>30</v>
      </c>
      <c r="AR57" s="4">
        <v>18</v>
      </c>
      <c r="AS57" s="125">
        <v>37176.160000000003</v>
      </c>
      <c r="AT57" s="15" t="s">
        <v>31</v>
      </c>
      <c r="AU57" s="4">
        <v>18</v>
      </c>
      <c r="AV57" s="125">
        <v>41535.120000000003</v>
      </c>
      <c r="AW57" s="15" t="s">
        <v>32</v>
      </c>
      <c r="AX57" s="4">
        <v>18</v>
      </c>
      <c r="AY57" s="125">
        <v>43461.760000000002</v>
      </c>
      <c r="AZ57" s="15" t="s">
        <v>33</v>
      </c>
      <c r="BA57" s="4">
        <v>18</v>
      </c>
      <c r="BB57" s="125">
        <v>49531.67</v>
      </c>
      <c r="BC57" s="15" t="s">
        <v>34</v>
      </c>
      <c r="BD57" s="4">
        <v>18</v>
      </c>
      <c r="BE57" s="125">
        <v>50191.14</v>
      </c>
      <c r="BF57" s="15" t="s">
        <v>35</v>
      </c>
      <c r="BG57" s="4">
        <v>18</v>
      </c>
      <c r="BH57" s="125">
        <v>45017.54</v>
      </c>
      <c r="BI57" s="4" t="s">
        <v>705</v>
      </c>
      <c r="BJ57" s="4">
        <v>18</v>
      </c>
      <c r="BK57" s="125">
        <v>22966.97</v>
      </c>
      <c r="BL57" s="15" t="s">
        <v>706</v>
      </c>
      <c r="BM57" s="4">
        <v>18</v>
      </c>
      <c r="BN57" s="124">
        <v>20190.669999999998</v>
      </c>
      <c r="BO57" s="15" t="s">
        <v>707</v>
      </c>
      <c r="BP57" s="4">
        <v>18</v>
      </c>
      <c r="BQ57" s="125">
        <v>21375.040000000001</v>
      </c>
      <c r="BR57" s="4" t="s">
        <v>708</v>
      </c>
      <c r="BS57" s="4">
        <v>18</v>
      </c>
      <c r="BT57" s="125">
        <v>22906.36</v>
      </c>
      <c r="BU57" s="4" t="s">
        <v>709</v>
      </c>
      <c r="BV57" s="4">
        <v>18</v>
      </c>
      <c r="BW57" s="125">
        <v>24406.36</v>
      </c>
      <c r="BX57"/>
      <c r="BY57"/>
      <c r="BZ57"/>
      <c r="CA57"/>
      <c r="CB57"/>
      <c r="CC57"/>
      <c r="CD57"/>
    </row>
    <row r="58" spans="16:82" x14ac:dyDescent="0.2">
      <c r="P58" s="15" t="s">
        <v>21</v>
      </c>
      <c r="Q58" s="4">
        <v>19</v>
      </c>
      <c r="R58" s="125">
        <v>29245.13</v>
      </c>
      <c r="S58" s="124" t="s">
        <v>22</v>
      </c>
      <c r="T58" s="4">
        <v>19</v>
      </c>
      <c r="U58" s="124">
        <v>34515.33</v>
      </c>
      <c r="V58" s="15" t="s">
        <v>23</v>
      </c>
      <c r="W58" s="4">
        <v>19</v>
      </c>
      <c r="X58" s="125">
        <v>38481.550000000003</v>
      </c>
      <c r="Y58" s="15" t="s">
        <v>24</v>
      </c>
      <c r="Z58" s="4">
        <v>19</v>
      </c>
      <c r="AA58" s="125">
        <v>42423.07</v>
      </c>
      <c r="AB58" s="15" t="s">
        <v>25</v>
      </c>
      <c r="AC58" s="4">
        <v>19</v>
      </c>
      <c r="AD58" s="125">
        <v>47963.5</v>
      </c>
      <c r="AE58" s="15" t="s">
        <v>26</v>
      </c>
      <c r="AF58" s="4">
        <v>19</v>
      </c>
      <c r="AG58" s="125">
        <v>50578.84</v>
      </c>
      <c r="AH58" s="4" t="s">
        <v>27</v>
      </c>
      <c r="AI58" s="4">
        <v>19</v>
      </c>
      <c r="AJ58" s="124">
        <v>51818.26</v>
      </c>
      <c r="AK58" s="15" t="s">
        <v>28</v>
      </c>
      <c r="AL58" s="4">
        <v>19</v>
      </c>
      <c r="AM58" s="124">
        <v>56900.01</v>
      </c>
      <c r="AN58" s="15" t="s">
        <v>29</v>
      </c>
      <c r="AO58" s="4">
        <v>19</v>
      </c>
      <c r="AP58" s="125">
        <v>48191.66</v>
      </c>
      <c r="AQ58" s="15" t="s">
        <v>30</v>
      </c>
      <c r="AR58" s="4">
        <v>19</v>
      </c>
      <c r="AS58" s="125">
        <v>37537.1</v>
      </c>
      <c r="AT58" s="15" t="s">
        <v>31</v>
      </c>
      <c r="AU58" s="4">
        <v>19</v>
      </c>
      <c r="AV58" s="125">
        <v>41979.35</v>
      </c>
      <c r="AW58" s="15" t="s">
        <v>32</v>
      </c>
      <c r="AX58" s="4">
        <v>19</v>
      </c>
      <c r="AY58" s="125">
        <v>43908.47</v>
      </c>
      <c r="AZ58" s="15" t="s">
        <v>33</v>
      </c>
      <c r="BA58" s="4">
        <v>19</v>
      </c>
      <c r="BB58" s="125">
        <v>49781.3</v>
      </c>
      <c r="BC58" s="15" t="s">
        <v>34</v>
      </c>
      <c r="BD58" s="4">
        <v>19</v>
      </c>
      <c r="BE58" s="125">
        <v>50570.42</v>
      </c>
      <c r="BF58" s="15" t="s">
        <v>35</v>
      </c>
      <c r="BG58" s="4">
        <v>19</v>
      </c>
      <c r="BH58" s="125">
        <v>45463.75</v>
      </c>
      <c r="BI58" s="4" t="s">
        <v>705</v>
      </c>
      <c r="BJ58" s="4">
        <v>19</v>
      </c>
      <c r="BK58" s="125">
        <v>23155.37</v>
      </c>
      <c r="BL58" s="15" t="s">
        <v>706</v>
      </c>
      <c r="BM58" s="4">
        <v>19</v>
      </c>
      <c r="BN58" s="124">
        <v>20814.28</v>
      </c>
      <c r="BO58" s="15" t="s">
        <v>707</v>
      </c>
      <c r="BP58" s="4">
        <v>19</v>
      </c>
      <c r="BQ58" s="125">
        <v>21910.17</v>
      </c>
      <c r="BR58" s="4" t="s">
        <v>708</v>
      </c>
      <c r="BS58" s="4">
        <v>19</v>
      </c>
      <c r="BT58" s="125">
        <v>23529.97</v>
      </c>
      <c r="BU58" s="4" t="s">
        <v>709</v>
      </c>
      <c r="BV58" s="4">
        <v>19</v>
      </c>
      <c r="BW58" s="125">
        <v>25029.97</v>
      </c>
      <c r="BX58"/>
      <c r="BY58"/>
      <c r="BZ58"/>
      <c r="CA58"/>
      <c r="CB58"/>
      <c r="CC58"/>
      <c r="CD58"/>
    </row>
    <row r="59" spans="16:82" x14ac:dyDescent="0.2">
      <c r="P59" s="15" t="s">
        <v>21</v>
      </c>
      <c r="Q59" s="4">
        <v>20</v>
      </c>
      <c r="R59" s="125">
        <v>29495.51</v>
      </c>
      <c r="S59" s="124" t="s">
        <v>22</v>
      </c>
      <c r="T59" s="4">
        <v>20</v>
      </c>
      <c r="U59" s="124">
        <v>34837.599999999999</v>
      </c>
      <c r="V59" s="15" t="s">
        <v>23</v>
      </c>
      <c r="W59" s="4">
        <v>20</v>
      </c>
      <c r="X59" s="125">
        <v>38878.18</v>
      </c>
      <c r="Y59" s="15" t="s">
        <v>24</v>
      </c>
      <c r="Z59" s="4">
        <v>20</v>
      </c>
      <c r="AA59" s="125">
        <v>42844.49</v>
      </c>
      <c r="AB59" s="15" t="s">
        <v>25</v>
      </c>
      <c r="AC59" s="4">
        <v>20</v>
      </c>
      <c r="AD59" s="125">
        <v>48199</v>
      </c>
      <c r="AE59" s="15" t="s">
        <v>26</v>
      </c>
      <c r="AF59" s="4">
        <v>20</v>
      </c>
      <c r="AG59" s="125">
        <v>50950.69</v>
      </c>
      <c r="AH59" s="4" t="s">
        <v>27</v>
      </c>
      <c r="AI59" s="4">
        <v>20</v>
      </c>
      <c r="AJ59" s="124">
        <v>53305.63</v>
      </c>
      <c r="AK59" s="15" t="s">
        <v>28</v>
      </c>
      <c r="AL59" s="4">
        <v>20</v>
      </c>
      <c r="AM59" s="124">
        <v>58511.32</v>
      </c>
      <c r="AN59" s="15" t="s">
        <v>29</v>
      </c>
      <c r="AO59" s="4">
        <v>20</v>
      </c>
      <c r="AP59" s="125">
        <v>48664.65</v>
      </c>
      <c r="AQ59" s="15" t="s">
        <v>30</v>
      </c>
      <c r="AR59" s="4">
        <v>20</v>
      </c>
      <c r="AS59" s="125">
        <v>37898.04</v>
      </c>
      <c r="AT59" s="15" t="s">
        <v>31</v>
      </c>
      <c r="AU59" s="4">
        <v>20</v>
      </c>
      <c r="AV59" s="125">
        <v>42423.58</v>
      </c>
      <c r="AW59" s="15" t="s">
        <v>32</v>
      </c>
      <c r="AX59" s="4">
        <v>20</v>
      </c>
      <c r="AY59" s="125">
        <v>44355.18</v>
      </c>
      <c r="AZ59" s="15" t="s">
        <v>33</v>
      </c>
      <c r="BA59" s="4">
        <v>20</v>
      </c>
      <c r="BB59" s="125">
        <v>50030.93</v>
      </c>
      <c r="BC59" s="15" t="s">
        <v>34</v>
      </c>
      <c r="BD59" s="4">
        <v>20</v>
      </c>
      <c r="BE59" s="125">
        <v>50949.7</v>
      </c>
      <c r="BF59" s="15" t="s">
        <v>35</v>
      </c>
      <c r="BG59" s="4">
        <v>20</v>
      </c>
      <c r="BH59" s="125">
        <v>45909.96</v>
      </c>
      <c r="BI59" s="4" t="s">
        <v>705</v>
      </c>
      <c r="BJ59" s="4">
        <v>20</v>
      </c>
      <c r="BK59" s="125">
        <v>23343.77</v>
      </c>
      <c r="BL59" s="15" t="s">
        <v>706</v>
      </c>
      <c r="BM59" s="4">
        <v>20</v>
      </c>
      <c r="BN59" s="124">
        <v>20814.28</v>
      </c>
      <c r="BO59" s="15" t="s">
        <v>707</v>
      </c>
      <c r="BP59" s="4">
        <v>20</v>
      </c>
      <c r="BQ59" s="125">
        <v>21910.17</v>
      </c>
      <c r="BR59" s="4" t="s">
        <v>708</v>
      </c>
      <c r="BS59" s="4">
        <v>20</v>
      </c>
      <c r="BT59" s="125">
        <v>23529.97</v>
      </c>
      <c r="BU59" s="4" t="s">
        <v>709</v>
      </c>
      <c r="BV59" s="4">
        <v>20</v>
      </c>
      <c r="BW59" s="125">
        <v>25029.97</v>
      </c>
      <c r="BX59"/>
      <c r="BY59"/>
      <c r="BZ59"/>
      <c r="CA59"/>
      <c r="CB59"/>
      <c r="CC59"/>
      <c r="CD59"/>
    </row>
    <row r="60" spans="16:82" x14ac:dyDescent="0.2">
      <c r="P60" s="15" t="s">
        <v>21</v>
      </c>
      <c r="Q60" s="4">
        <v>21</v>
      </c>
      <c r="R60" s="125">
        <v>29745.89</v>
      </c>
      <c r="S60" s="124" t="s">
        <v>22</v>
      </c>
      <c r="T60" s="4">
        <v>21</v>
      </c>
      <c r="U60" s="124">
        <v>35159.870000000003</v>
      </c>
      <c r="V60" s="15" t="s">
        <v>23</v>
      </c>
      <c r="W60" s="4">
        <v>21</v>
      </c>
      <c r="X60" s="125">
        <v>39274.81</v>
      </c>
      <c r="Y60" s="15" t="s">
        <v>24</v>
      </c>
      <c r="Z60" s="4">
        <v>21</v>
      </c>
      <c r="AA60" s="125">
        <v>43265.91</v>
      </c>
      <c r="AB60" s="15" t="s">
        <v>25</v>
      </c>
      <c r="AC60" s="4">
        <v>21</v>
      </c>
      <c r="AD60" s="125">
        <v>48434.5</v>
      </c>
      <c r="AE60" s="15" t="s">
        <v>26</v>
      </c>
      <c r="AF60" s="4">
        <v>21</v>
      </c>
      <c r="AG60" s="125">
        <v>51322.54</v>
      </c>
      <c r="AH60" s="4" t="s">
        <v>27</v>
      </c>
      <c r="AI60" s="4">
        <v>21</v>
      </c>
      <c r="AJ60" s="124">
        <v>53305.63</v>
      </c>
      <c r="AK60" s="15" t="s">
        <v>28</v>
      </c>
      <c r="AL60" s="4">
        <v>21</v>
      </c>
      <c r="AM60" s="124">
        <v>58511.32</v>
      </c>
      <c r="AN60" s="15" t="s">
        <v>29</v>
      </c>
      <c r="AO60" s="4">
        <v>21</v>
      </c>
      <c r="AP60" s="125">
        <v>49137.64</v>
      </c>
      <c r="AQ60" s="15" t="s">
        <v>30</v>
      </c>
      <c r="AR60" s="4">
        <v>21</v>
      </c>
      <c r="AS60" s="125">
        <v>38258.980000000003</v>
      </c>
      <c r="AT60" s="15" t="s">
        <v>31</v>
      </c>
      <c r="AU60" s="4">
        <v>21</v>
      </c>
      <c r="AV60" s="125">
        <v>42867.81</v>
      </c>
      <c r="AW60" s="15" t="s">
        <v>32</v>
      </c>
      <c r="AX60" s="4">
        <v>21</v>
      </c>
      <c r="AY60" s="125">
        <v>44801.89</v>
      </c>
      <c r="AZ60" s="15" t="s">
        <v>33</v>
      </c>
      <c r="BA60" s="4">
        <v>21</v>
      </c>
      <c r="BB60" s="125">
        <v>50280.56</v>
      </c>
      <c r="BC60" s="15" t="s">
        <v>34</v>
      </c>
      <c r="BD60" s="4">
        <v>21</v>
      </c>
      <c r="BE60" s="125">
        <v>51328.98</v>
      </c>
      <c r="BF60" s="15" t="s">
        <v>35</v>
      </c>
      <c r="BG60" s="4">
        <v>21</v>
      </c>
      <c r="BH60" s="125">
        <v>46356.17</v>
      </c>
      <c r="BI60" s="4" t="s">
        <v>705</v>
      </c>
      <c r="BJ60" s="4">
        <v>21</v>
      </c>
      <c r="BK60" s="125">
        <v>23532.17</v>
      </c>
      <c r="BL60" s="15" t="s">
        <v>706</v>
      </c>
      <c r="BM60" s="4">
        <v>21</v>
      </c>
      <c r="BN60" s="124">
        <v>21437.89</v>
      </c>
      <c r="BO60" s="15" t="s">
        <v>707</v>
      </c>
      <c r="BP60" s="4">
        <v>21</v>
      </c>
      <c r="BQ60" s="125">
        <v>22445.3</v>
      </c>
      <c r="BR60" s="4" t="s">
        <v>708</v>
      </c>
      <c r="BS60" s="4">
        <v>21</v>
      </c>
      <c r="BT60" s="125">
        <v>24153.58</v>
      </c>
      <c r="BU60" s="4" t="s">
        <v>709</v>
      </c>
      <c r="BV60" s="4">
        <v>21</v>
      </c>
      <c r="BW60" s="125">
        <v>25653.58</v>
      </c>
      <c r="BX60"/>
      <c r="BY60"/>
      <c r="BZ60"/>
      <c r="CA60"/>
      <c r="CB60"/>
      <c r="CC60"/>
      <c r="CD60"/>
    </row>
    <row r="61" spans="16:82" x14ac:dyDescent="0.2">
      <c r="P61" s="15" t="s">
        <v>21</v>
      </c>
      <c r="Q61" s="4">
        <v>22</v>
      </c>
      <c r="R61" s="125">
        <v>29996.27</v>
      </c>
      <c r="S61" s="124" t="s">
        <v>22</v>
      </c>
      <c r="T61" s="4">
        <v>22</v>
      </c>
      <c r="U61" s="124">
        <v>35482.14</v>
      </c>
      <c r="V61" s="15" t="s">
        <v>23</v>
      </c>
      <c r="W61" s="4">
        <v>22</v>
      </c>
      <c r="X61" s="125">
        <v>39671.440000000002</v>
      </c>
      <c r="Y61" s="15" t="s">
        <v>24</v>
      </c>
      <c r="Z61" s="4">
        <v>22</v>
      </c>
      <c r="AA61" s="125">
        <v>43687.33</v>
      </c>
      <c r="AB61" s="15" t="s">
        <v>25</v>
      </c>
      <c r="AC61" s="4">
        <v>22</v>
      </c>
      <c r="AD61" s="125">
        <v>48670</v>
      </c>
      <c r="AE61" s="15" t="s">
        <v>26</v>
      </c>
      <c r="AF61" s="4">
        <v>22</v>
      </c>
      <c r="AG61" s="125">
        <v>51694.39</v>
      </c>
      <c r="AH61" s="4" t="s">
        <v>27</v>
      </c>
      <c r="AI61" s="4">
        <v>22</v>
      </c>
      <c r="AJ61" s="124">
        <v>54793</v>
      </c>
      <c r="AK61" s="15" t="s">
        <v>28</v>
      </c>
      <c r="AL61" s="4">
        <v>22</v>
      </c>
      <c r="AM61" s="124">
        <v>60122.63</v>
      </c>
      <c r="AN61" s="15" t="s">
        <v>29</v>
      </c>
      <c r="AO61" s="4">
        <v>22</v>
      </c>
      <c r="AP61" s="125">
        <v>49610.63</v>
      </c>
      <c r="AQ61" s="15" t="s">
        <v>30</v>
      </c>
      <c r="AR61" s="4">
        <v>22</v>
      </c>
      <c r="AS61" s="125">
        <v>38619.919999999998</v>
      </c>
      <c r="AT61" s="15" t="s">
        <v>31</v>
      </c>
      <c r="AU61" s="4">
        <v>22</v>
      </c>
      <c r="AV61" s="125">
        <v>43312.04</v>
      </c>
      <c r="AW61" s="15" t="s">
        <v>32</v>
      </c>
      <c r="AX61" s="4">
        <v>22</v>
      </c>
      <c r="AY61" s="125">
        <v>45248.6</v>
      </c>
      <c r="AZ61" s="15" t="s">
        <v>33</v>
      </c>
      <c r="BA61" s="4">
        <v>22</v>
      </c>
      <c r="BB61" s="125">
        <v>50530.19</v>
      </c>
      <c r="BC61" s="15" t="s">
        <v>34</v>
      </c>
      <c r="BD61" s="4">
        <v>22</v>
      </c>
      <c r="BE61" s="125">
        <v>51708.26</v>
      </c>
      <c r="BF61" s="15" t="s">
        <v>35</v>
      </c>
      <c r="BG61" s="4">
        <v>22</v>
      </c>
      <c r="BH61" s="125">
        <v>46802.38</v>
      </c>
      <c r="BI61" s="4" t="s">
        <v>705</v>
      </c>
      <c r="BJ61" s="4">
        <v>22</v>
      </c>
      <c r="BK61" s="125">
        <v>23720.57</v>
      </c>
      <c r="BL61" s="15" t="s">
        <v>706</v>
      </c>
      <c r="BM61" s="4">
        <v>22</v>
      </c>
      <c r="BN61" s="124">
        <v>21437.89</v>
      </c>
      <c r="BO61" s="15" t="s">
        <v>707</v>
      </c>
      <c r="BP61" s="4">
        <v>22</v>
      </c>
      <c r="BQ61" s="125">
        <v>22445.3</v>
      </c>
      <c r="BR61" s="4" t="s">
        <v>708</v>
      </c>
      <c r="BS61" s="4">
        <v>22</v>
      </c>
      <c r="BT61" s="125">
        <v>24153.58</v>
      </c>
      <c r="BU61" s="4" t="s">
        <v>709</v>
      </c>
      <c r="BV61" s="4">
        <v>22</v>
      </c>
      <c r="BW61" s="125">
        <v>25653.58</v>
      </c>
      <c r="BX61"/>
      <c r="BY61"/>
      <c r="BZ61"/>
      <c r="CA61"/>
      <c r="CB61"/>
      <c r="CC61"/>
      <c r="CD61"/>
    </row>
    <row r="62" spans="16:82" x14ac:dyDescent="0.2">
      <c r="P62" s="15" t="s">
        <v>21</v>
      </c>
      <c r="Q62" s="4">
        <v>23</v>
      </c>
      <c r="R62" s="125">
        <v>30246.65</v>
      </c>
      <c r="S62" s="124" t="s">
        <v>22</v>
      </c>
      <c r="T62" s="4">
        <v>23</v>
      </c>
      <c r="U62" s="124">
        <v>35804.410000000003</v>
      </c>
      <c r="V62" s="15" t="s">
        <v>23</v>
      </c>
      <c r="W62" s="4">
        <v>23</v>
      </c>
      <c r="X62" s="125">
        <v>40068.07</v>
      </c>
      <c r="Y62" s="15" t="s">
        <v>24</v>
      </c>
      <c r="Z62" s="4">
        <v>23</v>
      </c>
      <c r="AA62" s="125">
        <v>44108.75</v>
      </c>
      <c r="AB62" s="15" t="s">
        <v>25</v>
      </c>
      <c r="AC62" s="4">
        <v>23</v>
      </c>
      <c r="AD62" s="125">
        <v>48905.5</v>
      </c>
      <c r="AE62" s="15" t="s">
        <v>26</v>
      </c>
      <c r="AF62" s="4">
        <v>23</v>
      </c>
      <c r="AG62" s="125">
        <v>52066.239999999998</v>
      </c>
      <c r="AH62" s="4" t="s">
        <v>27</v>
      </c>
      <c r="AI62" s="4">
        <v>23</v>
      </c>
      <c r="AJ62" s="124">
        <v>54793</v>
      </c>
      <c r="AK62" s="15" t="s">
        <v>28</v>
      </c>
      <c r="AL62" s="4">
        <v>23</v>
      </c>
      <c r="AM62" s="124">
        <v>60122.63</v>
      </c>
      <c r="AN62" s="15" t="s">
        <v>29</v>
      </c>
      <c r="AO62" s="4">
        <v>23</v>
      </c>
      <c r="AP62" s="125">
        <v>50083.62</v>
      </c>
      <c r="AQ62" s="15" t="s">
        <v>30</v>
      </c>
      <c r="AR62" s="4">
        <v>23</v>
      </c>
      <c r="AS62" s="125">
        <v>38980.86</v>
      </c>
      <c r="AT62" s="15" t="s">
        <v>31</v>
      </c>
      <c r="AU62" s="4">
        <v>23</v>
      </c>
      <c r="AV62" s="125">
        <v>43756.27</v>
      </c>
      <c r="AW62" s="15" t="s">
        <v>32</v>
      </c>
      <c r="AX62" s="4">
        <v>23</v>
      </c>
      <c r="AY62" s="125">
        <v>45695.31</v>
      </c>
      <c r="AZ62" s="15" t="s">
        <v>33</v>
      </c>
      <c r="BA62" s="4">
        <v>23</v>
      </c>
      <c r="BB62" s="125">
        <v>50779.82</v>
      </c>
      <c r="BC62" s="15" t="s">
        <v>34</v>
      </c>
      <c r="BD62" s="4">
        <v>23</v>
      </c>
      <c r="BE62" s="125">
        <v>52087.54</v>
      </c>
      <c r="BF62" s="15" t="s">
        <v>35</v>
      </c>
      <c r="BG62" s="4">
        <v>23</v>
      </c>
      <c r="BH62" s="125">
        <v>47248.59</v>
      </c>
      <c r="BI62" s="4" t="s">
        <v>705</v>
      </c>
      <c r="BJ62" s="4">
        <v>23</v>
      </c>
      <c r="BK62" s="125">
        <v>23908.97</v>
      </c>
      <c r="BL62" s="15" t="s">
        <v>706</v>
      </c>
      <c r="BM62" s="4">
        <v>23</v>
      </c>
      <c r="BN62" s="124">
        <v>22061.5</v>
      </c>
      <c r="BO62" s="15" t="s">
        <v>707</v>
      </c>
      <c r="BP62" s="4">
        <v>23</v>
      </c>
      <c r="BQ62" s="125">
        <v>22980.43</v>
      </c>
      <c r="BR62" s="4" t="s">
        <v>708</v>
      </c>
      <c r="BS62" s="4">
        <v>23</v>
      </c>
      <c r="BT62" s="125">
        <v>24777.19</v>
      </c>
      <c r="BU62" s="4" t="s">
        <v>709</v>
      </c>
      <c r="BV62" s="4">
        <v>23</v>
      </c>
      <c r="BW62" s="125">
        <v>26277.19</v>
      </c>
      <c r="BX62"/>
      <c r="BY62"/>
      <c r="BZ62"/>
      <c r="CA62"/>
      <c r="CB62"/>
      <c r="CC62"/>
      <c r="CD62"/>
    </row>
    <row r="63" spans="16:82" x14ac:dyDescent="0.2">
      <c r="P63" s="15" t="s">
        <v>21</v>
      </c>
      <c r="Q63" s="4">
        <v>24</v>
      </c>
      <c r="R63" s="125">
        <v>30497.03</v>
      </c>
      <c r="S63" s="124" t="s">
        <v>22</v>
      </c>
      <c r="T63" s="4">
        <v>24</v>
      </c>
      <c r="U63" s="124">
        <v>36126.68</v>
      </c>
      <c r="V63" s="15" t="s">
        <v>23</v>
      </c>
      <c r="W63" s="4">
        <v>24</v>
      </c>
      <c r="X63" s="125">
        <v>40365.550000000003</v>
      </c>
      <c r="Y63" s="15" t="s">
        <v>24</v>
      </c>
      <c r="Z63" s="4">
        <v>24</v>
      </c>
      <c r="AA63" s="125">
        <v>44530.17</v>
      </c>
      <c r="AB63" s="15" t="s">
        <v>25</v>
      </c>
      <c r="AC63" s="4">
        <v>24</v>
      </c>
      <c r="AD63" s="125">
        <v>49141</v>
      </c>
      <c r="AE63" s="15" t="s">
        <v>26</v>
      </c>
      <c r="AF63" s="4">
        <v>24</v>
      </c>
      <c r="AG63" s="125">
        <v>52438.09</v>
      </c>
      <c r="AH63" s="4" t="s">
        <v>27</v>
      </c>
      <c r="AI63" s="4">
        <v>24</v>
      </c>
      <c r="AJ63" s="124">
        <v>56280.37</v>
      </c>
      <c r="AK63" s="15" t="s">
        <v>28</v>
      </c>
      <c r="AL63" s="4">
        <v>24</v>
      </c>
      <c r="AM63" s="124">
        <v>61733.94</v>
      </c>
      <c r="AN63" s="15" t="s">
        <v>29</v>
      </c>
      <c r="AO63" s="4">
        <v>24</v>
      </c>
      <c r="AP63" s="125">
        <v>50556.61</v>
      </c>
      <c r="AQ63" s="15" t="s">
        <v>30</v>
      </c>
      <c r="AR63" s="4">
        <v>24</v>
      </c>
      <c r="AS63" s="125">
        <v>39341.800000000003</v>
      </c>
      <c r="AT63" s="15" t="s">
        <v>31</v>
      </c>
      <c r="AU63" s="4">
        <v>24</v>
      </c>
      <c r="AV63" s="125">
        <v>44089.440000000002</v>
      </c>
      <c r="AW63" s="15" t="s">
        <v>32</v>
      </c>
      <c r="AX63" s="4">
        <v>24</v>
      </c>
      <c r="AY63" s="125">
        <v>46142.02</v>
      </c>
      <c r="AZ63" s="15" t="s">
        <v>33</v>
      </c>
      <c r="BA63" s="4">
        <v>24</v>
      </c>
      <c r="BB63" s="125">
        <v>51029.45</v>
      </c>
      <c r="BC63" s="15" t="s">
        <v>34</v>
      </c>
      <c r="BD63" s="4">
        <v>24</v>
      </c>
      <c r="BE63" s="125">
        <v>52466.82</v>
      </c>
      <c r="BF63" s="15" t="s">
        <v>35</v>
      </c>
      <c r="BG63" s="4">
        <v>24</v>
      </c>
      <c r="BH63" s="125">
        <v>47694.8</v>
      </c>
      <c r="BI63" s="4" t="s">
        <v>705</v>
      </c>
      <c r="BJ63" s="4">
        <v>24</v>
      </c>
      <c r="BK63" s="125">
        <v>24097.37</v>
      </c>
      <c r="BL63" s="15" t="s">
        <v>706</v>
      </c>
      <c r="BM63" s="4">
        <v>24</v>
      </c>
      <c r="BN63" s="124">
        <v>22061.5</v>
      </c>
      <c r="BO63" s="15" t="s">
        <v>707</v>
      </c>
      <c r="BP63" s="4">
        <v>24</v>
      </c>
      <c r="BQ63" s="125">
        <v>22980.43</v>
      </c>
      <c r="BR63" s="4" t="s">
        <v>708</v>
      </c>
      <c r="BS63" s="4">
        <v>24</v>
      </c>
      <c r="BT63" s="125">
        <v>24777.19</v>
      </c>
      <c r="BU63" s="4" t="s">
        <v>709</v>
      </c>
      <c r="BV63" s="4">
        <v>24</v>
      </c>
      <c r="BW63" s="125">
        <v>26277.19</v>
      </c>
      <c r="BX63"/>
      <c r="BY63"/>
      <c r="BZ63"/>
      <c r="CA63"/>
      <c r="CB63"/>
      <c r="CC63"/>
      <c r="CD63"/>
    </row>
    <row r="64" spans="16:82" x14ac:dyDescent="0.2">
      <c r="P64" s="15" t="s">
        <v>21</v>
      </c>
      <c r="Q64" s="4">
        <v>25</v>
      </c>
      <c r="R64" s="125">
        <v>30747.41</v>
      </c>
      <c r="S64" s="124" t="s">
        <v>22</v>
      </c>
      <c r="T64" s="4">
        <v>25</v>
      </c>
      <c r="U64" s="124">
        <v>36448.949999999997</v>
      </c>
      <c r="V64" s="15" t="s">
        <v>23</v>
      </c>
      <c r="W64" s="4">
        <v>25</v>
      </c>
      <c r="X64" s="125">
        <v>40663.03</v>
      </c>
      <c r="Y64" s="15" t="s">
        <v>24</v>
      </c>
      <c r="Z64" s="4">
        <v>25</v>
      </c>
      <c r="AA64" s="125">
        <v>44951.59</v>
      </c>
      <c r="AB64" s="15" t="s">
        <v>25</v>
      </c>
      <c r="AC64" s="4"/>
      <c r="AD64" s="125">
        <v>49141</v>
      </c>
      <c r="AE64" s="15" t="s">
        <v>26</v>
      </c>
      <c r="AF64" s="4"/>
      <c r="AG64" s="125">
        <v>52438.09</v>
      </c>
      <c r="AH64" s="4" t="s">
        <v>27</v>
      </c>
      <c r="AI64" s="4">
        <v>25</v>
      </c>
      <c r="AJ64" s="124">
        <v>56280.37</v>
      </c>
      <c r="AK64" s="15" t="s">
        <v>28</v>
      </c>
      <c r="AL64" s="4">
        <v>25</v>
      </c>
      <c r="AM64" s="124">
        <v>61733.94</v>
      </c>
      <c r="AN64" s="15" t="s">
        <v>29</v>
      </c>
      <c r="AO64" s="4">
        <v>25</v>
      </c>
      <c r="AP64" s="125">
        <v>51029.599999999999</v>
      </c>
      <c r="AQ64" s="15" t="s">
        <v>30</v>
      </c>
      <c r="AR64" s="4">
        <v>25</v>
      </c>
      <c r="AS64" s="125">
        <v>39702.74</v>
      </c>
      <c r="AT64" s="15" t="s">
        <v>31</v>
      </c>
      <c r="AU64" s="4">
        <v>25</v>
      </c>
      <c r="AV64" s="125">
        <v>44422.61</v>
      </c>
      <c r="AW64" s="15" t="s">
        <v>32</v>
      </c>
      <c r="AX64" s="4">
        <v>25</v>
      </c>
      <c r="AY64" s="125">
        <v>46588.73</v>
      </c>
      <c r="AZ64" s="15" t="s">
        <v>33</v>
      </c>
      <c r="BA64" s="4"/>
      <c r="BB64" s="125">
        <v>51029.45</v>
      </c>
      <c r="BC64" s="15" t="s">
        <v>34</v>
      </c>
      <c r="BD64" s="4"/>
      <c r="BE64" s="125">
        <v>52466.82</v>
      </c>
      <c r="BF64" s="15" t="s">
        <v>35</v>
      </c>
      <c r="BG64" s="4">
        <v>25</v>
      </c>
      <c r="BH64" s="125">
        <v>48141.01</v>
      </c>
      <c r="BI64" s="4" t="s">
        <v>705</v>
      </c>
      <c r="BJ64" s="4">
        <v>25</v>
      </c>
      <c r="BK64" s="125">
        <v>24285.77</v>
      </c>
      <c r="BL64" s="15" t="s">
        <v>706</v>
      </c>
      <c r="BM64" s="4">
        <v>25</v>
      </c>
      <c r="BN64" s="124">
        <v>22685.11</v>
      </c>
      <c r="BO64" s="15" t="s">
        <v>707</v>
      </c>
      <c r="BP64" s="4">
        <v>25</v>
      </c>
      <c r="BQ64" s="125">
        <v>23515.56</v>
      </c>
      <c r="BR64" s="4" t="s">
        <v>708</v>
      </c>
      <c r="BS64" s="4">
        <v>25</v>
      </c>
      <c r="BT64" s="125">
        <v>25400.799999999999</v>
      </c>
      <c r="BU64" s="4" t="s">
        <v>709</v>
      </c>
      <c r="BV64" s="4">
        <v>25</v>
      </c>
      <c r="BW64" s="125">
        <v>26900.799999999999</v>
      </c>
      <c r="BX64"/>
      <c r="BY64"/>
      <c r="BZ64"/>
      <c r="CA64"/>
      <c r="CB64"/>
      <c r="CC64"/>
      <c r="CD64"/>
    </row>
    <row r="65" spans="16:84" x14ac:dyDescent="0.2">
      <c r="P65" s="15" t="s">
        <v>21</v>
      </c>
      <c r="Q65" s="4"/>
      <c r="R65" s="125">
        <v>30747.41</v>
      </c>
      <c r="S65" s="124" t="s">
        <v>22</v>
      </c>
      <c r="T65" s="124"/>
      <c r="U65" s="124">
        <v>36448.949999999997</v>
      </c>
      <c r="V65" s="15" t="s">
        <v>23</v>
      </c>
      <c r="X65" s="125">
        <v>40663.03</v>
      </c>
      <c r="Y65" s="15" t="s">
        <v>24</v>
      </c>
      <c r="AA65" s="125">
        <v>44951.59</v>
      </c>
      <c r="AB65" s="15"/>
      <c r="AD65" s="125"/>
      <c r="AE65" s="15"/>
      <c r="AG65" s="125"/>
      <c r="AH65" s="4" t="s">
        <v>27</v>
      </c>
      <c r="AI65" s="4">
        <v>26</v>
      </c>
      <c r="AJ65" s="124">
        <v>57767.74</v>
      </c>
      <c r="AK65" s="15" t="s">
        <v>28</v>
      </c>
      <c r="AL65" s="4">
        <v>26</v>
      </c>
      <c r="AM65" s="124">
        <v>63345.25</v>
      </c>
      <c r="AN65" s="15" t="s">
        <v>29</v>
      </c>
      <c r="AO65" s="4"/>
      <c r="AP65" s="125">
        <v>51029.599999999999</v>
      </c>
      <c r="AQ65" s="15" t="s">
        <v>30</v>
      </c>
      <c r="AR65" s="4"/>
      <c r="AS65" s="125">
        <v>39702.74</v>
      </c>
      <c r="AT65" s="15" t="s">
        <v>31</v>
      </c>
      <c r="AU65" s="4"/>
      <c r="AV65" s="125">
        <v>44422.61</v>
      </c>
      <c r="AW65" s="15" t="s">
        <v>32</v>
      </c>
      <c r="AX65" s="4"/>
      <c r="AY65" s="125">
        <v>46588.73</v>
      </c>
      <c r="AZ65" s="15"/>
      <c r="BA65" s="4"/>
      <c r="BB65" s="125"/>
      <c r="BC65" s="15"/>
      <c r="BD65" s="4"/>
      <c r="BE65" s="125"/>
      <c r="BF65" s="15" t="s">
        <v>35</v>
      </c>
      <c r="BG65" s="4"/>
      <c r="BH65" s="125">
        <v>48141.01</v>
      </c>
      <c r="BI65" s="4" t="s">
        <v>705</v>
      </c>
      <c r="BJ65" s="4"/>
      <c r="BK65" s="125">
        <v>24285.77</v>
      </c>
      <c r="BL65" s="15" t="s">
        <v>706</v>
      </c>
      <c r="BM65" s="4">
        <v>26</v>
      </c>
      <c r="BN65" s="124">
        <v>22685.11</v>
      </c>
      <c r="BO65" s="15" t="s">
        <v>707</v>
      </c>
      <c r="BP65" s="4">
        <v>26</v>
      </c>
      <c r="BQ65" s="125">
        <v>23515.56</v>
      </c>
      <c r="BR65" s="4" t="s">
        <v>708</v>
      </c>
      <c r="BS65" s="4">
        <v>26</v>
      </c>
      <c r="BT65" s="125">
        <v>25400.799999999999</v>
      </c>
      <c r="BU65" s="4" t="s">
        <v>709</v>
      </c>
      <c r="BV65" s="4">
        <v>26</v>
      </c>
      <c r="BW65" s="125">
        <v>26900.799999999999</v>
      </c>
      <c r="BX65"/>
      <c r="BY65"/>
      <c r="BZ65"/>
      <c r="CA65"/>
      <c r="CB65"/>
      <c r="CC65"/>
      <c r="CD65"/>
    </row>
    <row r="66" spans="16:84" x14ac:dyDescent="0.2">
      <c r="P66" s="15"/>
      <c r="Q66" s="4"/>
      <c r="R66" s="90"/>
      <c r="S66" s="4"/>
      <c r="T66" s="4"/>
      <c r="U66" s="4"/>
      <c r="V66" s="32"/>
      <c r="X66" s="33"/>
      <c r="Y66" s="32"/>
      <c r="AA66" s="33"/>
      <c r="AB66" s="32"/>
      <c r="AD66" s="33"/>
      <c r="AE66" s="32"/>
      <c r="AG66" s="33"/>
      <c r="AH66" s="4" t="s">
        <v>27</v>
      </c>
      <c r="AI66" s="4">
        <v>27</v>
      </c>
      <c r="AJ66" s="124">
        <v>57767.74</v>
      </c>
      <c r="AK66" s="15" t="s">
        <v>28</v>
      </c>
      <c r="AL66" s="4">
        <v>27</v>
      </c>
      <c r="AM66" s="124">
        <v>63345.25</v>
      </c>
      <c r="AN66" s="15"/>
      <c r="AO66" s="4"/>
      <c r="AP66" s="90"/>
      <c r="AQ66" s="15"/>
      <c r="AR66" s="4"/>
      <c r="AS66" s="90"/>
      <c r="AT66" s="15"/>
      <c r="AU66" s="4"/>
      <c r="AV66" s="90"/>
      <c r="AW66" s="15"/>
      <c r="AX66" s="4"/>
      <c r="AY66" s="90"/>
      <c r="AZ66" s="15"/>
      <c r="BA66" s="4"/>
      <c r="BB66" s="90"/>
      <c r="BC66" s="15"/>
      <c r="BD66" s="4"/>
      <c r="BE66" s="90"/>
      <c r="BF66" s="15"/>
      <c r="BG66" s="4"/>
      <c r="BH66" s="90"/>
      <c r="BI66" s="4"/>
      <c r="BJ66" s="4"/>
      <c r="BK66" s="90"/>
      <c r="BL66" s="15" t="s">
        <v>706</v>
      </c>
      <c r="BM66" s="4">
        <v>27</v>
      </c>
      <c r="BN66" s="124">
        <v>23308.720000000001</v>
      </c>
      <c r="BO66" s="15" t="s">
        <v>707</v>
      </c>
      <c r="BP66" s="4">
        <v>27</v>
      </c>
      <c r="BQ66" s="124">
        <v>24050.69</v>
      </c>
      <c r="BR66" s="4" t="s">
        <v>708</v>
      </c>
      <c r="BS66" s="4">
        <v>27</v>
      </c>
      <c r="BT66" s="124">
        <v>26024.41</v>
      </c>
      <c r="BU66" s="4" t="s">
        <v>709</v>
      </c>
      <c r="BV66" s="4">
        <v>27</v>
      </c>
      <c r="BW66" s="124">
        <v>27524.41</v>
      </c>
      <c r="BX66"/>
      <c r="BY66"/>
      <c r="BZ66"/>
      <c r="CA66"/>
      <c r="CB66"/>
      <c r="CC66"/>
      <c r="CD66"/>
    </row>
    <row r="67" spans="16:84" x14ac:dyDescent="0.2">
      <c r="P67" s="16"/>
      <c r="Q67" s="17"/>
      <c r="R67" s="83"/>
      <c r="S67" s="17"/>
      <c r="T67" s="17"/>
      <c r="U67" s="17"/>
      <c r="V67" s="38"/>
      <c r="W67" s="39"/>
      <c r="X67" s="40"/>
      <c r="Y67" s="38"/>
      <c r="Z67" s="39"/>
      <c r="AA67" s="40"/>
      <c r="AB67" s="38"/>
      <c r="AC67" s="39"/>
      <c r="AD67" s="40"/>
      <c r="AE67" s="38"/>
      <c r="AF67" s="39"/>
      <c r="AG67" s="40"/>
      <c r="AH67" s="4" t="s">
        <v>27</v>
      </c>
      <c r="AI67" s="4">
        <v>28</v>
      </c>
      <c r="AJ67" s="124">
        <v>59255.11</v>
      </c>
      <c r="AK67" s="15" t="s">
        <v>28</v>
      </c>
      <c r="AL67" s="4">
        <v>28</v>
      </c>
      <c r="AM67" s="124">
        <v>64956.56</v>
      </c>
      <c r="AN67" s="16"/>
      <c r="AO67" s="17"/>
      <c r="AP67" s="83"/>
      <c r="AQ67" s="16"/>
      <c r="AR67" s="17"/>
      <c r="AS67" s="83"/>
      <c r="AT67" s="16"/>
      <c r="AU67" s="17"/>
      <c r="AV67" s="83"/>
      <c r="AW67" s="16"/>
      <c r="AX67" s="17"/>
      <c r="AY67" s="83"/>
      <c r="AZ67" s="16"/>
      <c r="BA67" s="17"/>
      <c r="BB67" s="83"/>
      <c r="BC67" s="16"/>
      <c r="BD67" s="17"/>
      <c r="BE67" s="83"/>
      <c r="BF67" s="16"/>
      <c r="BG67" s="17"/>
      <c r="BH67" s="83"/>
      <c r="BI67" s="16"/>
      <c r="BJ67" s="17"/>
      <c r="BK67" s="83"/>
      <c r="BL67" s="15" t="s">
        <v>706</v>
      </c>
      <c r="BM67" s="4">
        <v>28</v>
      </c>
      <c r="BN67" s="124">
        <v>23308.720000000001</v>
      </c>
      <c r="BO67" s="15" t="s">
        <v>707</v>
      </c>
      <c r="BP67" s="4">
        <v>28</v>
      </c>
      <c r="BQ67" s="124">
        <v>24050.69</v>
      </c>
      <c r="BR67" s="4" t="s">
        <v>708</v>
      </c>
      <c r="BS67" s="4">
        <v>28</v>
      </c>
      <c r="BT67" s="124">
        <v>26024.41</v>
      </c>
      <c r="BU67" s="4" t="s">
        <v>709</v>
      </c>
      <c r="BV67" s="4">
        <v>28</v>
      </c>
      <c r="BW67" s="124">
        <v>27524.41</v>
      </c>
      <c r="BX67"/>
      <c r="BY67"/>
      <c r="BZ67"/>
      <c r="CA67"/>
      <c r="CB67"/>
      <c r="CC67"/>
      <c r="CD67"/>
    </row>
    <row r="68" spans="16:84" x14ac:dyDescent="0.2">
      <c r="AH68" s="15" t="s">
        <v>27</v>
      </c>
      <c r="AI68" s="4"/>
      <c r="AJ68" s="124">
        <v>59255.11</v>
      </c>
      <c r="AK68" s="15" t="s">
        <v>28</v>
      </c>
      <c r="AL68" s="4"/>
      <c r="AM68" s="124">
        <v>64956.56</v>
      </c>
      <c r="BI68" s="4"/>
      <c r="BJ68" s="4"/>
      <c r="BK68" s="10"/>
      <c r="BL68" s="15" t="s">
        <v>706</v>
      </c>
      <c r="BM68" s="4">
        <v>29</v>
      </c>
      <c r="BN68" s="124">
        <v>23932.33</v>
      </c>
      <c r="BO68" s="15" t="s">
        <v>707</v>
      </c>
      <c r="BP68" s="4">
        <v>29</v>
      </c>
      <c r="BQ68" s="124">
        <v>24585.82</v>
      </c>
      <c r="BR68" s="4" t="s">
        <v>708</v>
      </c>
      <c r="BS68" s="4">
        <v>29</v>
      </c>
      <c r="BT68" s="124">
        <v>26648.02</v>
      </c>
      <c r="BU68" s="4" t="s">
        <v>709</v>
      </c>
      <c r="BV68" s="4">
        <v>29</v>
      </c>
      <c r="BW68" s="124">
        <v>27921.360000000001</v>
      </c>
      <c r="BX68"/>
      <c r="BY68"/>
      <c r="BZ68"/>
      <c r="CA68"/>
      <c r="CB68"/>
      <c r="CC68"/>
      <c r="CD68"/>
    </row>
    <row r="69" spans="16:84" x14ac:dyDescent="0.2">
      <c r="AH69" s="16"/>
      <c r="AI69" s="17"/>
      <c r="AJ69" s="17"/>
      <c r="AK69" s="16"/>
      <c r="AL69" s="17"/>
      <c r="AM69" s="83"/>
      <c r="BL69" s="16" t="s">
        <v>706</v>
      </c>
      <c r="BM69" s="17"/>
      <c r="BN69" s="124">
        <v>23932.33</v>
      </c>
      <c r="BO69" s="15" t="s">
        <v>707</v>
      </c>
      <c r="BP69" s="17"/>
      <c r="BQ69" s="124">
        <v>24585.82</v>
      </c>
      <c r="BR69" s="4" t="s">
        <v>708</v>
      </c>
      <c r="BS69" s="17"/>
      <c r="BT69" s="124">
        <v>26648.02</v>
      </c>
      <c r="BU69" s="4" t="s">
        <v>709</v>
      </c>
      <c r="BV69" s="17"/>
      <c r="BW69" s="124">
        <v>27921.360000000001</v>
      </c>
      <c r="CE69" s="2"/>
      <c r="CF69" s="2"/>
    </row>
    <row r="70" spans="16:84" x14ac:dyDescent="0.2">
      <c r="CE70" s="2"/>
      <c r="CF70" s="2"/>
    </row>
    <row r="71" spans="16:84" x14ac:dyDescent="0.2">
      <c r="P71" s="4"/>
      <c r="Q71" s="4"/>
      <c r="R71" s="4"/>
      <c r="CE71" s="2"/>
      <c r="CF71" s="2"/>
    </row>
  </sheetData>
  <sheetProtection algorithmName="SHA-512" hashValue="8d0lNMJZx1OA40Nw6TjSSJVUvR5bHHKfdgAdf2oXvrI8EVX4dEtLc+nF8kNShxrZYZ9b2SUDNL3badSoaGd6lw==" saltValue="jRPtYsOx3qK4TpLHzkEqjg==" spinCount="100000" sheet="1" objects="1" scenarios="1"/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0"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9" sqref="F9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285156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K4" s="4"/>
      <c r="L4" s="4"/>
      <c r="M4" s="259">
        <f>Jul!$G$55</f>
        <v>0</v>
      </c>
      <c r="P4" s="4" t="s">
        <v>111</v>
      </c>
      <c r="Q4" s="4"/>
      <c r="R4" s="4"/>
      <c r="S4" s="4"/>
      <c r="T4" s="4"/>
      <c r="U4" s="122">
        <f>IF(Jul!$H$48="x",Jul!$U$4,Jul!$G$51)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3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s="2" customFormat="1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AZ6" s="4"/>
      <c r="BA6" s="57" t="s">
        <v>166</v>
      </c>
    </row>
    <row r="7" spans="1:54" s="374" customFormat="1" x14ac:dyDescent="0.2">
      <c r="B7" s="362" t="s">
        <v>171</v>
      </c>
      <c r="C7" s="402" t="s">
        <v>446</v>
      </c>
      <c r="D7" s="403"/>
      <c r="E7" s="403"/>
      <c r="F7" s="365"/>
      <c r="G7" s="365"/>
      <c r="H7" s="375"/>
      <c r="I7" s="375"/>
      <c r="J7" s="375"/>
      <c r="K7" s="375"/>
      <c r="L7" s="366">
        <f>(G7-F7)+(I7-H7)+(K7-J7)</f>
        <v>0</v>
      </c>
      <c r="M7" s="366">
        <f>IF(Jul!H48="x",L7+Jul!M37+M4,L7+M4)</f>
        <v>0.31666666666666665</v>
      </c>
      <c r="N7" s="382">
        <f>IF(Jul!$H$48="x",AU7+Jul!$N$37,AU7)</f>
        <v>7.2833333333333297</v>
      </c>
      <c r="O7" s="404" t="str">
        <f>IF((M7-N7-U$4)&lt;0,"-","+")</f>
        <v>-</v>
      </c>
      <c r="P7" s="383">
        <f>ABS(M7-N7-U$4)</f>
        <v>6.9666666666666632</v>
      </c>
      <c r="Q7" s="403">
        <f t="shared" ref="Q7:Q37" si="0">AP7</f>
        <v>0</v>
      </c>
      <c r="R7" s="403">
        <f t="shared" ref="R7:R37" si="1">AQ7</f>
        <v>0</v>
      </c>
      <c r="S7" s="403">
        <f t="shared" ref="S7:S37" si="2">AR7</f>
        <v>0</v>
      </c>
      <c r="T7" s="403">
        <f t="shared" ref="T7:T37" si="3">AO7</f>
        <v>0</v>
      </c>
      <c r="U7" s="366">
        <f>L7</f>
        <v>0</v>
      </c>
      <c r="V7" s="366">
        <f>AE7</f>
        <v>0</v>
      </c>
      <c r="W7" s="366">
        <f>AF7</f>
        <v>0</v>
      </c>
      <c r="X7" s="364"/>
      <c r="Y7" s="365"/>
      <c r="Z7" s="365"/>
      <c r="AA7" s="36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6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68">
        <f>AA7+AB7</f>
        <v>0</v>
      </c>
      <c r="AD7" s="36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69">
        <f>AA7-AD7</f>
        <v>0</v>
      </c>
      <c r="AF7" s="368">
        <f>AH7+AD7</f>
        <v>0</v>
      </c>
      <c r="AG7" s="369">
        <f>AC7</f>
        <v>0</v>
      </c>
      <c r="AH7" s="36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70">
        <f>IF((D7&lt;&gt;""),VLOOKUP(D7,Data!$E$36:$H$53,4),)</f>
        <v>0</v>
      </c>
      <c r="AJ7" s="370">
        <f t="shared" ref="AJ7:AJ37" si="8">IF(U7&gt;0,L7,0)</f>
        <v>0</v>
      </c>
      <c r="AK7" s="371">
        <f t="shared" ref="AK7:AK37" si="9">IF(L7&gt;0,D7,0)</f>
        <v>0</v>
      </c>
      <c r="AL7" s="371">
        <f t="shared" ref="AL7:AL37" si="10">IF((E7="X")*OR(E7="x"),1,0)</f>
        <v>0</v>
      </c>
      <c r="AM7" s="372">
        <f t="shared" ref="AM7:AM37" si="11">IF(D7="F",1,)+IF((D7="VB")*AND(((G7-F7)+(I7-H7)+(K7-J7))&gt;0),1,0)</f>
        <v>0</v>
      </c>
      <c r="AN7" s="370">
        <f t="shared" ref="AN7:AN37" si="12">IF((D7="VB")*AND(((G7-F7)+(I7-H7)+(K7-J7))=0),"07:36",0)</f>
        <v>0</v>
      </c>
      <c r="AO7" s="373">
        <f t="shared" ref="AO7:AO37" si="13">IF((F7&lt;=$AQ$2)*AND(G7&gt;=$AQ$3),1,)+IF((H7&lt;=$AQ$2)*AND(I7&gt;=$AQ$3),1,)+IF((J7&lt;=$AQ$2)*AND(K7&gt;=$AQ$3),1,)</f>
        <v>0</v>
      </c>
      <c r="AP7" s="373">
        <f t="shared" ref="AP7:AP37" si="14">IF((F7&lt;=$AR$2)*AND(G7&gt;=$AR$3),1,)+IF((H7&lt;=$AR$2)*AND(I7&gt;=$AR$3),1,)+IF((J7&lt;=$AR$2)*AND(K7&gt;=$AR$3),1,)</f>
        <v>0</v>
      </c>
      <c r="AQ7" s="373">
        <f t="shared" ref="AQ7:AQ37" si="15">IF((F7&lt;=$AS$2)*AND(G7&gt;=$AS$3),1,)+IF((H7&lt;=$AS$2)*AND(I7&gt;=$AS$3),1,)+IF((J7&lt;=$AS$2)*AND(K7&gt;=$AS$3),1,)</f>
        <v>0</v>
      </c>
      <c r="AR7" s="373">
        <f t="shared" ref="AR7:AR37" si="16">IF((F7=$AT$2)*AND(G7&gt;=$AT$3),1,)+IF((H7=$AT$2)*AND(I7&gt;=$AT$3),1,)+IF((J7=$AT$2)*AND(K7&gt;=$AT$3),1,)</f>
        <v>0</v>
      </c>
      <c r="AS7" s="371">
        <f t="shared" ref="AS7:AS37" si="17">IF((E7="MO")*OR(E7="mo"),1,0)</f>
        <v>0</v>
      </c>
      <c r="AT7" s="371">
        <f t="shared" ref="AT7:AT37" si="18">IF((E7="M")*OR(E7="m"),1,0)</f>
        <v>0</v>
      </c>
      <c r="AU7" s="366">
        <f>IF(Data!$H$8="x",AV7,AW7)</f>
        <v>0</v>
      </c>
      <c r="AV7" s="366">
        <f t="shared" ref="AV7:AV37" si="19">AW7/2</f>
        <v>0</v>
      </c>
      <c r="AW7" s="366">
        <f>AX4</f>
        <v>0</v>
      </c>
      <c r="AX7" s="362" t="str">
        <f t="shared" ref="AX7:AX37" si="20">B7</f>
        <v>Za</v>
      </c>
      <c r="AY7" s="371">
        <f>IF((R40="HAU1")*AND(R41&lt;&gt;""),VLOOKUP(R41,Barema!$Q$5:$R$31,2),)</f>
        <v>0</v>
      </c>
      <c r="AZ7" s="371" t="s">
        <v>0</v>
      </c>
      <c r="BA7" s="439"/>
    </row>
    <row r="8" spans="1:54" s="376" customFormat="1" x14ac:dyDescent="0.2">
      <c r="A8" s="374"/>
      <c r="B8" s="362" t="s">
        <v>173</v>
      </c>
      <c r="C8" s="363" t="s">
        <v>447</v>
      </c>
      <c r="D8" s="364"/>
      <c r="E8" s="364"/>
      <c r="F8" s="365"/>
      <c r="G8" s="365"/>
      <c r="H8" s="365"/>
      <c r="I8" s="365"/>
      <c r="J8" s="375"/>
      <c r="K8" s="375"/>
      <c r="L8" s="366">
        <f>(G8-F8)+(I8-H8)+(K8-J8)</f>
        <v>0</v>
      </c>
      <c r="M8" s="366">
        <f>M7+L8</f>
        <v>0.31666666666666665</v>
      </c>
      <c r="N8" s="382">
        <f>IF(Jul!$H$48="x",AU8+Jul!$N$37,AU8)</f>
        <v>7.2833333333333297</v>
      </c>
      <c r="O8" s="404" t="str">
        <f t="shared" ref="O8:O37" si="21">IF((M8-N8-U$4)&lt;0,"-","+")</f>
        <v>-</v>
      </c>
      <c r="P8" s="383">
        <f t="shared" ref="P8:P37" si="22">ABS(M8-N8-U$4)</f>
        <v>6.9666666666666632</v>
      </c>
      <c r="Q8" s="403">
        <f t="shared" si="0"/>
        <v>0</v>
      </c>
      <c r="R8" s="403">
        <f t="shared" si="1"/>
        <v>0</v>
      </c>
      <c r="S8" s="403">
        <f t="shared" si="2"/>
        <v>0</v>
      </c>
      <c r="T8" s="403">
        <f t="shared" si="3"/>
        <v>0</v>
      </c>
      <c r="U8" s="366">
        <f>L8</f>
        <v>0</v>
      </c>
      <c r="V8" s="366">
        <f t="shared" ref="V8:V37" si="23">AE8</f>
        <v>0</v>
      </c>
      <c r="W8" s="366">
        <f t="shared" ref="W8:W37" si="24">AF8</f>
        <v>0</v>
      </c>
      <c r="X8" s="364"/>
      <c r="Y8" s="365"/>
      <c r="Z8" s="365"/>
      <c r="AA8" s="368">
        <f t="shared" si="4"/>
        <v>0</v>
      </c>
      <c r="AB8" s="368">
        <f t="shared" si="5"/>
        <v>0</v>
      </c>
      <c r="AC8" s="368">
        <f>AA8+AB8</f>
        <v>0</v>
      </c>
      <c r="AD8" s="368">
        <f t="shared" si="6"/>
        <v>0</v>
      </c>
      <c r="AE8" s="369">
        <f>AA8-AD8</f>
        <v>0</v>
      </c>
      <c r="AF8" s="368">
        <f>AH8+AD8</f>
        <v>0</v>
      </c>
      <c r="AG8" s="369">
        <f>AC8</f>
        <v>0</v>
      </c>
      <c r="AH8" s="368">
        <f t="shared" si="7"/>
        <v>0</v>
      </c>
      <c r="AI8" s="370">
        <f>IF((D8&lt;&gt;""),VLOOKUP(D8,Data!$E$36:$H$53,4),)</f>
        <v>0</v>
      </c>
      <c r="AJ8" s="370">
        <f t="shared" si="8"/>
        <v>0</v>
      </c>
      <c r="AK8" s="371">
        <f t="shared" si="9"/>
        <v>0</v>
      </c>
      <c r="AL8" s="371">
        <f t="shared" si="10"/>
        <v>0</v>
      </c>
      <c r="AM8" s="372">
        <f t="shared" si="11"/>
        <v>0</v>
      </c>
      <c r="AN8" s="370">
        <f t="shared" si="12"/>
        <v>0</v>
      </c>
      <c r="AO8" s="373">
        <f t="shared" si="13"/>
        <v>0</v>
      </c>
      <c r="AP8" s="373">
        <f t="shared" si="14"/>
        <v>0</v>
      </c>
      <c r="AQ8" s="373">
        <f t="shared" si="15"/>
        <v>0</v>
      </c>
      <c r="AR8" s="373">
        <f t="shared" si="16"/>
        <v>0</v>
      </c>
      <c r="AS8" s="371">
        <f t="shared" si="17"/>
        <v>0</v>
      </c>
      <c r="AT8" s="371">
        <f t="shared" si="18"/>
        <v>0</v>
      </c>
      <c r="AU8" s="366">
        <f>IF(Data!$H$8="x",AV8,AW8)</f>
        <v>0</v>
      </c>
      <c r="AV8" s="366">
        <f t="shared" si="19"/>
        <v>0</v>
      </c>
      <c r="AW8" s="366">
        <f>AW7</f>
        <v>0</v>
      </c>
      <c r="AX8" s="362" t="str">
        <f t="shared" si="20"/>
        <v>Zo</v>
      </c>
      <c r="AY8" s="371">
        <f>IF((R40="HAU2")*AND(R41&lt;&gt;""),VLOOKUP(R41,Barema!$T$5:$U$31,2),)</f>
        <v>0</v>
      </c>
      <c r="AZ8" s="371" t="s">
        <v>1</v>
      </c>
      <c r="BA8" s="439"/>
    </row>
    <row r="9" spans="1:54" s="378" customFormat="1" x14ac:dyDescent="0.2">
      <c r="A9" s="309"/>
      <c r="B9" s="6" t="s">
        <v>175</v>
      </c>
      <c r="C9" s="311" t="s">
        <v>448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 t="shared" ref="M9:M37" si="25">M8+L9</f>
        <v>0.31666666666666665</v>
      </c>
      <c r="N9" s="338">
        <f>IF(Jul!$H$48="x",AU9+Jul!$N$37,AU9)</f>
        <v>7.5999999999999961</v>
      </c>
      <c r="O9" s="418" t="str">
        <f t="shared" si="21"/>
        <v>-</v>
      </c>
      <c r="P9" s="339">
        <f t="shared" si="22"/>
        <v>7.2833333333333297</v>
      </c>
      <c r="Q9" s="414">
        <f t="shared" si="0"/>
        <v>0</v>
      </c>
      <c r="R9" s="414">
        <f t="shared" si="1"/>
        <v>0</v>
      </c>
      <c r="S9" s="414">
        <f t="shared" si="2"/>
        <v>0</v>
      </c>
      <c r="T9" s="414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7" si="26">AA9+AB9</f>
        <v>0</v>
      </c>
      <c r="AD9" s="315">
        <f t="shared" si="6"/>
        <v>0</v>
      </c>
      <c r="AE9" s="316">
        <f t="shared" ref="AE9:AE37" si="27">AA9-AD9</f>
        <v>0</v>
      </c>
      <c r="AF9" s="315">
        <f t="shared" ref="AF9:AF37" si="28">AH9+AD9</f>
        <v>0</v>
      </c>
      <c r="AG9" s="316">
        <f t="shared" ref="AG9:AG37" si="29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0.31666666666666665</v>
      </c>
      <c r="AV9" s="313">
        <f>AW9/2</f>
        <v>0.15833333333333333</v>
      </c>
      <c r="AW9" s="313">
        <f>IF(D9="V",AW8,(AW8+"07:36"))</f>
        <v>0.31666666666666665</v>
      </c>
      <c r="AX9" s="6" t="str">
        <f t="shared" si="20"/>
        <v>Ma</v>
      </c>
      <c r="AY9" s="4">
        <f>IF((R40="HAU3")*AND(R41&lt;&gt;""),VLOOKUP(R41,Barema!$W$5:$X$31,2),)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177</v>
      </c>
      <c r="C10" s="311" t="s">
        <v>449</v>
      </c>
      <c r="D10" s="312"/>
      <c r="E10" s="312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 t="shared" si="25"/>
        <v>0.31666666666666665</v>
      </c>
      <c r="N10" s="338">
        <f>IF(Jul!$H$48="x",AU10+Jul!$N$37,AU10)</f>
        <v>7.9166666666666625</v>
      </c>
      <c r="O10" s="418" t="str">
        <f t="shared" si="21"/>
        <v>-</v>
      </c>
      <c r="P10" s="339">
        <f t="shared" si="22"/>
        <v>7.5999999999999961</v>
      </c>
      <c r="Q10" s="414">
        <f t="shared" si="0"/>
        <v>0</v>
      </c>
      <c r="R10" s="414">
        <f t="shared" si="1"/>
        <v>0</v>
      </c>
      <c r="S10" s="414">
        <f t="shared" si="2"/>
        <v>0</v>
      </c>
      <c r="T10" s="414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6"/>
        <v>0</v>
      </c>
      <c r="AD10" s="315">
        <f t="shared" si="6"/>
        <v>0</v>
      </c>
      <c r="AE10" s="316">
        <f t="shared" si="27"/>
        <v>0</v>
      </c>
      <c r="AF10" s="315">
        <f t="shared" si="28"/>
        <v>0</v>
      </c>
      <c r="AG10" s="316">
        <f t="shared" si="29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0.6333333333333333</v>
      </c>
      <c r="AV10" s="313">
        <f>AW10/2</f>
        <v>0.31666666666666665</v>
      </c>
      <c r="AW10" s="313">
        <f>IF(D10="V",AW9,(AW9+"07:36"))</f>
        <v>0.6333333333333333</v>
      </c>
      <c r="AX10" s="6" t="str">
        <f t="shared" si="20"/>
        <v>Di</v>
      </c>
      <c r="AY10" s="4">
        <f>IF((R40="B1")*AND(R41&lt;&gt;""),VLOOKUP(R41,Barema!$Z$5:$AA$31,2),)</f>
        <v>0</v>
      </c>
      <c r="AZ10" s="4" t="s">
        <v>3</v>
      </c>
      <c r="BA10" s="102"/>
    </row>
    <row r="11" spans="1:54" s="378" customFormat="1" x14ac:dyDescent="0.2">
      <c r="A11" s="309"/>
      <c r="B11" s="6" t="s">
        <v>179</v>
      </c>
      <c r="C11" s="311" t="s">
        <v>450</v>
      </c>
      <c r="D11" s="312"/>
      <c r="E11" s="312"/>
      <c r="F11" s="274"/>
      <c r="G11" s="274"/>
      <c r="H11" s="310"/>
      <c r="I11" s="310"/>
      <c r="J11" s="336"/>
      <c r="K11" s="336"/>
      <c r="L11" s="313">
        <f>(G11-F11)+(I11-H11)+(K11-J11)+AI11+AN11</f>
        <v>0</v>
      </c>
      <c r="M11" s="313">
        <f>M10+L11</f>
        <v>0.31666666666666665</v>
      </c>
      <c r="N11" s="338">
        <f>IF(Jul!$H$48="x",AU11+Jul!$N$37,AU11)</f>
        <v>8.233333333333329</v>
      </c>
      <c r="O11" s="418" t="str">
        <f t="shared" si="21"/>
        <v>-</v>
      </c>
      <c r="P11" s="339">
        <f t="shared" si="22"/>
        <v>7.9166666666666625</v>
      </c>
      <c r="Q11" s="414">
        <f t="shared" si="0"/>
        <v>0</v>
      </c>
      <c r="R11" s="414">
        <f t="shared" si="1"/>
        <v>0</v>
      </c>
      <c r="S11" s="414">
        <f t="shared" si="2"/>
        <v>0</v>
      </c>
      <c r="T11" s="414">
        <f t="shared" si="3"/>
        <v>0</v>
      </c>
      <c r="U11" s="313">
        <f>IF(D11="F",L11,0)</f>
        <v>0</v>
      </c>
      <c r="V11" s="313">
        <f t="shared" si="23"/>
        <v>0</v>
      </c>
      <c r="W11" s="313">
        <f t="shared" si="24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6"/>
        <v>0</v>
      </c>
      <c r="AD11" s="315">
        <f t="shared" si="6"/>
        <v>0</v>
      </c>
      <c r="AE11" s="316">
        <f t="shared" si="27"/>
        <v>0</v>
      </c>
      <c r="AF11" s="315">
        <f t="shared" si="28"/>
        <v>0</v>
      </c>
      <c r="AG11" s="316">
        <f t="shared" si="29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0.95</v>
      </c>
      <c r="AV11" s="313">
        <f t="shared" si="19"/>
        <v>0.47499999999999998</v>
      </c>
      <c r="AW11" s="313">
        <f>IF(D11="V",AW10,(AW10+"07:36"))</f>
        <v>0.95</v>
      </c>
      <c r="AX11" s="6" t="str">
        <f t="shared" si="20"/>
        <v>Wo</v>
      </c>
      <c r="AY11" s="4">
        <f>IF((R40="B2")*AND(R41&lt;&gt;""),VLOOKUP(R41,Barema!$AC$5:$AD$31,2),)</f>
        <v>22504.84</v>
      </c>
      <c r="AZ11" s="4" t="s">
        <v>4</v>
      </c>
      <c r="BA11" s="102"/>
    </row>
    <row r="12" spans="1:54" s="378" customFormat="1" x14ac:dyDescent="0.2">
      <c r="A12" s="309"/>
      <c r="B12" s="6" t="s">
        <v>167</v>
      </c>
      <c r="C12" s="311" t="s">
        <v>451</v>
      </c>
      <c r="D12" s="312"/>
      <c r="E12" s="312"/>
      <c r="F12" s="274"/>
      <c r="G12" s="274"/>
      <c r="H12" s="310"/>
      <c r="I12" s="310"/>
      <c r="J12" s="336"/>
      <c r="K12" s="336"/>
      <c r="L12" s="313">
        <f>(G12-F12)+(I12-H12)+(K12-J12)+AI12+AN12</f>
        <v>0</v>
      </c>
      <c r="M12" s="313">
        <f>M11+L12</f>
        <v>0.31666666666666665</v>
      </c>
      <c r="N12" s="338">
        <f>IF(Jul!$H$48="x",AU12+Jul!$N$37,AU12)</f>
        <v>8.5499999999999972</v>
      </c>
      <c r="O12" s="418" t="str">
        <f t="shared" si="21"/>
        <v>-</v>
      </c>
      <c r="P12" s="339">
        <f t="shared" si="22"/>
        <v>8.2333333333333307</v>
      </c>
      <c r="Q12" s="414">
        <f t="shared" si="0"/>
        <v>0</v>
      </c>
      <c r="R12" s="414">
        <f t="shared" si="1"/>
        <v>0</v>
      </c>
      <c r="S12" s="414">
        <f t="shared" si="2"/>
        <v>0</v>
      </c>
      <c r="T12" s="414">
        <f t="shared" si="3"/>
        <v>0</v>
      </c>
      <c r="U12" s="313">
        <f>IF(D12="F",L12,0)</f>
        <v>0</v>
      </c>
      <c r="V12" s="313">
        <f t="shared" si="23"/>
        <v>0</v>
      </c>
      <c r="W12" s="313">
        <f t="shared" si="24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6"/>
        <v>0</v>
      </c>
      <c r="AD12" s="315">
        <f t="shared" si="6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1.2666666666666666</v>
      </c>
      <c r="AV12" s="313">
        <f t="shared" si="19"/>
        <v>0.6333333333333333</v>
      </c>
      <c r="AW12" s="313">
        <f>IF(D12="V",AW11,(AW11+"07:36"))</f>
        <v>1.2666666666666666</v>
      </c>
      <c r="AX12" s="6" t="str">
        <f t="shared" si="20"/>
        <v>Do</v>
      </c>
      <c r="AY12" s="4">
        <f>IF((R40="B3")*AND(R41&lt;&gt;""),VLOOKUP(R41,Barema!$AF$5:$AG$31,2),)</f>
        <v>0</v>
      </c>
      <c r="AZ12" s="4" t="s">
        <v>5</v>
      </c>
      <c r="BA12" s="102"/>
    </row>
    <row r="13" spans="1:54" s="378" customFormat="1" x14ac:dyDescent="0.2">
      <c r="A13" s="309"/>
      <c r="B13" s="6" t="s">
        <v>169</v>
      </c>
      <c r="C13" s="311" t="s">
        <v>452</v>
      </c>
      <c r="D13" s="312"/>
      <c r="E13" s="312"/>
      <c r="F13" s="274"/>
      <c r="G13" s="274"/>
      <c r="H13" s="310"/>
      <c r="I13" s="310"/>
      <c r="J13" s="336"/>
      <c r="K13" s="336"/>
      <c r="L13" s="313">
        <f>(G13-F13)+(I13-H13)+(K13-J13)+AI13+AN13</f>
        <v>0</v>
      </c>
      <c r="M13" s="313">
        <f t="shared" si="25"/>
        <v>0.31666666666666665</v>
      </c>
      <c r="N13" s="338">
        <f>IF(Jul!$H$48="x",AU13+Jul!$N$37,AU13)</f>
        <v>8.8666666666666636</v>
      </c>
      <c r="O13" s="418" t="str">
        <f t="shared" si="21"/>
        <v>-</v>
      </c>
      <c r="P13" s="339">
        <f t="shared" si="22"/>
        <v>8.5499999999999972</v>
      </c>
      <c r="Q13" s="414">
        <f t="shared" si="0"/>
        <v>0</v>
      </c>
      <c r="R13" s="414">
        <f t="shared" si="1"/>
        <v>0</v>
      </c>
      <c r="S13" s="414">
        <f t="shared" si="2"/>
        <v>0</v>
      </c>
      <c r="T13" s="414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6"/>
        <v>0</v>
      </c>
      <c r="AD13" s="315">
        <f t="shared" si="6"/>
        <v>0</v>
      </c>
      <c r="AE13" s="316">
        <f t="shared" si="27"/>
        <v>0</v>
      </c>
      <c r="AF13" s="315">
        <f t="shared" si="28"/>
        <v>0</v>
      </c>
      <c r="AG13" s="316">
        <f t="shared" si="29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Vr</v>
      </c>
      <c r="AY13" s="4">
        <f>IF((R40="B4")*AND(R41&lt;&gt;""),VLOOKUP(R41,Barema!$AI$5:$AJ$34,2),)</f>
        <v>0</v>
      </c>
      <c r="AZ13" s="4" t="s">
        <v>6</v>
      </c>
      <c r="BA13" s="102"/>
    </row>
    <row r="14" spans="1:54" s="376" customFormat="1" x14ac:dyDescent="0.2">
      <c r="A14" s="374"/>
      <c r="B14" s="362" t="s">
        <v>171</v>
      </c>
      <c r="C14" s="363" t="s">
        <v>453</v>
      </c>
      <c r="D14" s="364"/>
      <c r="E14" s="364"/>
      <c r="F14" s="365"/>
      <c r="G14" s="365"/>
      <c r="H14" s="365"/>
      <c r="I14" s="365"/>
      <c r="J14" s="375"/>
      <c r="K14" s="375"/>
      <c r="L14" s="366">
        <f>(G14-F14)+(I14-H14)+(K14-J14)</f>
        <v>0</v>
      </c>
      <c r="M14" s="366">
        <f t="shared" si="25"/>
        <v>0.31666666666666665</v>
      </c>
      <c r="N14" s="382">
        <f>IF(Jul!$H$48="x",AU14+Jul!$N$37,AU14)</f>
        <v>8.8666666666666636</v>
      </c>
      <c r="O14" s="404" t="str">
        <f t="shared" si="21"/>
        <v>-</v>
      </c>
      <c r="P14" s="383">
        <f t="shared" si="22"/>
        <v>8.5499999999999972</v>
      </c>
      <c r="Q14" s="403">
        <f t="shared" si="0"/>
        <v>0</v>
      </c>
      <c r="R14" s="403">
        <f t="shared" si="1"/>
        <v>0</v>
      </c>
      <c r="S14" s="403">
        <f t="shared" si="2"/>
        <v>0</v>
      </c>
      <c r="T14" s="403">
        <f t="shared" si="3"/>
        <v>0</v>
      </c>
      <c r="U14" s="366">
        <f>L14</f>
        <v>0</v>
      </c>
      <c r="V14" s="366">
        <f t="shared" si="23"/>
        <v>0</v>
      </c>
      <c r="W14" s="366">
        <f t="shared" si="24"/>
        <v>0</v>
      </c>
      <c r="X14" s="364"/>
      <c r="Y14" s="365"/>
      <c r="Z14" s="365"/>
      <c r="AA14" s="368">
        <f t="shared" si="4"/>
        <v>0</v>
      </c>
      <c r="AB14" s="368">
        <f t="shared" si="5"/>
        <v>0</v>
      </c>
      <c r="AC14" s="368">
        <f t="shared" si="26"/>
        <v>0</v>
      </c>
      <c r="AD14" s="368">
        <f t="shared" si="6"/>
        <v>0</v>
      </c>
      <c r="AE14" s="369">
        <f t="shared" si="27"/>
        <v>0</v>
      </c>
      <c r="AF14" s="368">
        <f t="shared" si="28"/>
        <v>0</v>
      </c>
      <c r="AG14" s="369">
        <f t="shared" si="29"/>
        <v>0</v>
      </c>
      <c r="AH14" s="368">
        <f t="shared" si="7"/>
        <v>0</v>
      </c>
      <c r="AI14" s="370">
        <f>IF((D14&lt;&gt;""),VLOOKUP(D14,Data!$E$36:$H$53,4),)</f>
        <v>0</v>
      </c>
      <c r="AJ14" s="370">
        <f t="shared" si="8"/>
        <v>0</v>
      </c>
      <c r="AK14" s="371">
        <f t="shared" si="9"/>
        <v>0</v>
      </c>
      <c r="AL14" s="371">
        <f t="shared" si="10"/>
        <v>0</v>
      </c>
      <c r="AM14" s="372">
        <f t="shared" si="11"/>
        <v>0</v>
      </c>
      <c r="AN14" s="370">
        <f t="shared" si="12"/>
        <v>0</v>
      </c>
      <c r="AO14" s="373">
        <f t="shared" si="13"/>
        <v>0</v>
      </c>
      <c r="AP14" s="373">
        <f t="shared" si="14"/>
        <v>0</v>
      </c>
      <c r="AQ14" s="373">
        <f t="shared" si="15"/>
        <v>0</v>
      </c>
      <c r="AR14" s="373">
        <f t="shared" si="16"/>
        <v>0</v>
      </c>
      <c r="AS14" s="371">
        <f t="shared" si="17"/>
        <v>0</v>
      </c>
      <c r="AT14" s="371">
        <f t="shared" si="18"/>
        <v>0</v>
      </c>
      <c r="AU14" s="366">
        <f>IF(Data!$H$8="x",AV14,AW14)</f>
        <v>1.5833333333333333</v>
      </c>
      <c r="AV14" s="366">
        <f t="shared" si="19"/>
        <v>0.79166666666666663</v>
      </c>
      <c r="AW14" s="366">
        <f>AW13</f>
        <v>1.5833333333333333</v>
      </c>
      <c r="AX14" s="362" t="str">
        <f t="shared" si="20"/>
        <v>Za</v>
      </c>
      <c r="AY14" s="371">
        <f>IF((R40="B5")*AND(R41&lt;&gt;""),VLOOKUP(R41,Barema!$AL$5:$AM$34,2),)</f>
        <v>0</v>
      </c>
      <c r="AZ14" s="371" t="s">
        <v>7</v>
      </c>
      <c r="BA14" s="439"/>
    </row>
    <row r="15" spans="1:54" s="376" customFormat="1" x14ac:dyDescent="0.2">
      <c r="A15" s="374"/>
      <c r="B15" s="362" t="s">
        <v>173</v>
      </c>
      <c r="C15" s="363" t="s">
        <v>454</v>
      </c>
      <c r="D15" s="364"/>
      <c r="E15" s="403"/>
      <c r="F15" s="365"/>
      <c r="G15" s="365"/>
      <c r="H15" s="365"/>
      <c r="I15" s="365"/>
      <c r="J15" s="375"/>
      <c r="K15" s="375"/>
      <c r="L15" s="366">
        <f>(G15-F15)+(I15-H15)+(K15-J15)</f>
        <v>0</v>
      </c>
      <c r="M15" s="366">
        <f t="shared" si="25"/>
        <v>0.31666666666666665</v>
      </c>
      <c r="N15" s="382">
        <f>IF(Jul!$H$48="x",AU15+Jul!$N$37,AU15)</f>
        <v>8.8666666666666636</v>
      </c>
      <c r="O15" s="404" t="str">
        <f t="shared" si="21"/>
        <v>-</v>
      </c>
      <c r="P15" s="383">
        <f t="shared" si="22"/>
        <v>8.5499999999999972</v>
      </c>
      <c r="Q15" s="403">
        <f t="shared" si="0"/>
        <v>0</v>
      </c>
      <c r="R15" s="403">
        <f t="shared" si="1"/>
        <v>0</v>
      </c>
      <c r="S15" s="403">
        <f t="shared" si="2"/>
        <v>0</v>
      </c>
      <c r="T15" s="403">
        <f t="shared" si="3"/>
        <v>0</v>
      </c>
      <c r="U15" s="366">
        <f>L15</f>
        <v>0</v>
      </c>
      <c r="V15" s="366">
        <f t="shared" si="23"/>
        <v>0</v>
      </c>
      <c r="W15" s="366">
        <f t="shared" si="24"/>
        <v>0</v>
      </c>
      <c r="X15" s="364"/>
      <c r="Y15" s="365"/>
      <c r="Z15" s="365"/>
      <c r="AA15" s="368">
        <f t="shared" si="4"/>
        <v>0</v>
      </c>
      <c r="AB15" s="368">
        <f t="shared" si="5"/>
        <v>0</v>
      </c>
      <c r="AC15" s="368">
        <f t="shared" si="26"/>
        <v>0</v>
      </c>
      <c r="AD15" s="368">
        <f t="shared" si="6"/>
        <v>0</v>
      </c>
      <c r="AE15" s="369">
        <f t="shared" si="27"/>
        <v>0</v>
      </c>
      <c r="AF15" s="368">
        <f t="shared" si="28"/>
        <v>0</v>
      </c>
      <c r="AG15" s="369">
        <f t="shared" si="29"/>
        <v>0</v>
      </c>
      <c r="AH15" s="368">
        <f t="shared" si="7"/>
        <v>0</v>
      </c>
      <c r="AI15" s="370">
        <f>IF((D15&lt;&gt;""),VLOOKUP(D15,Data!$E$36:$H$53,4),)</f>
        <v>0</v>
      </c>
      <c r="AJ15" s="370">
        <f t="shared" si="8"/>
        <v>0</v>
      </c>
      <c r="AK15" s="371">
        <f t="shared" si="9"/>
        <v>0</v>
      </c>
      <c r="AL15" s="371">
        <f t="shared" si="10"/>
        <v>0</v>
      </c>
      <c r="AM15" s="372">
        <f t="shared" si="11"/>
        <v>0</v>
      </c>
      <c r="AN15" s="370">
        <f t="shared" si="12"/>
        <v>0</v>
      </c>
      <c r="AO15" s="373">
        <f t="shared" si="13"/>
        <v>0</v>
      </c>
      <c r="AP15" s="373">
        <f t="shared" si="14"/>
        <v>0</v>
      </c>
      <c r="AQ15" s="373">
        <f t="shared" si="15"/>
        <v>0</v>
      </c>
      <c r="AR15" s="373">
        <f t="shared" si="16"/>
        <v>0</v>
      </c>
      <c r="AS15" s="371">
        <f t="shared" si="17"/>
        <v>0</v>
      </c>
      <c r="AT15" s="371">
        <f t="shared" si="18"/>
        <v>0</v>
      </c>
      <c r="AU15" s="366">
        <f>IF(Data!$H$8="x",AV15,AW15)</f>
        <v>1.5833333333333333</v>
      </c>
      <c r="AV15" s="366">
        <f t="shared" si="19"/>
        <v>0.79166666666666663</v>
      </c>
      <c r="AW15" s="366">
        <f>AW14</f>
        <v>1.5833333333333333</v>
      </c>
      <c r="AX15" s="362" t="str">
        <f t="shared" si="20"/>
        <v>Zo</v>
      </c>
      <c r="AY15" s="371">
        <f>IF((R40="M1.1")*AND(R41&lt;&gt;""),VLOOKUP(R41,Barema!$AO$5:$AP$31,2),)</f>
        <v>0</v>
      </c>
      <c r="AZ15" s="371" t="s">
        <v>8</v>
      </c>
      <c r="BA15" s="439"/>
    </row>
    <row r="16" spans="1:54" s="378" customFormat="1" x14ac:dyDescent="0.2">
      <c r="A16" s="309"/>
      <c r="B16" s="6" t="s">
        <v>175</v>
      </c>
      <c r="C16" s="311" t="s">
        <v>455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 t="shared" si="25"/>
        <v>0.31666666666666665</v>
      </c>
      <c r="N16" s="338">
        <f>IF(Jul!$H$48="x",AU16+Jul!$N$37,AU16)</f>
        <v>9.18333333333333</v>
      </c>
      <c r="O16" s="418" t="str">
        <f t="shared" si="21"/>
        <v>-</v>
      </c>
      <c r="P16" s="339">
        <f t="shared" si="22"/>
        <v>8.8666666666666636</v>
      </c>
      <c r="Q16" s="414">
        <f t="shared" si="0"/>
        <v>0</v>
      </c>
      <c r="R16" s="414">
        <f t="shared" si="1"/>
        <v>0</v>
      </c>
      <c r="S16" s="414">
        <f t="shared" si="2"/>
        <v>0</v>
      </c>
      <c r="T16" s="414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6"/>
        <v>0</v>
      </c>
      <c r="AD16" s="315">
        <f t="shared" si="6"/>
        <v>0</v>
      </c>
      <c r="AE16" s="316">
        <f t="shared" si="27"/>
        <v>0</v>
      </c>
      <c r="AF16" s="315">
        <f t="shared" si="28"/>
        <v>0</v>
      </c>
      <c r="AG16" s="316">
        <f t="shared" si="29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1.9</v>
      </c>
      <c r="AV16" s="313">
        <f t="shared" si="19"/>
        <v>0.95</v>
      </c>
      <c r="AW16" s="313">
        <f>IF(D16="V",AW15,(AW15+"07:36"))</f>
        <v>1.9</v>
      </c>
      <c r="AX16" s="6" t="str">
        <f t="shared" si="20"/>
        <v>Ma</v>
      </c>
      <c r="AY16" s="4">
        <f>IF((R40="M1.2")*AND(R41&lt;&gt;""),VLOOKUP(R41,Barema!$AR$5:$AS$31,2),)</f>
        <v>0</v>
      </c>
      <c r="AZ16" s="4" t="s">
        <v>9</v>
      </c>
      <c r="BA16" s="102"/>
    </row>
    <row r="17" spans="1:53" s="378" customFormat="1" x14ac:dyDescent="0.2">
      <c r="A17" s="309"/>
      <c r="B17" s="6" t="s">
        <v>177</v>
      </c>
      <c r="C17" s="311" t="s">
        <v>456</v>
      </c>
      <c r="D17" s="312"/>
      <c r="E17" s="312"/>
      <c r="F17" s="274"/>
      <c r="G17" s="274"/>
      <c r="H17" s="310"/>
      <c r="I17" s="310"/>
      <c r="J17" s="336"/>
      <c r="K17" s="336"/>
      <c r="L17" s="313">
        <f>(G17-F17)+(I17-H17)+(K17-J17)+AI17+AN17</f>
        <v>0</v>
      </c>
      <c r="M17" s="313">
        <f t="shared" si="25"/>
        <v>0.31666666666666665</v>
      </c>
      <c r="N17" s="338">
        <f>IF(Jul!$H$48="x",AU17+Jul!$N$37,AU17)</f>
        <v>9.4999999999999964</v>
      </c>
      <c r="O17" s="418" t="str">
        <f t="shared" si="21"/>
        <v>-</v>
      </c>
      <c r="P17" s="339">
        <f t="shared" si="22"/>
        <v>9.18333333333333</v>
      </c>
      <c r="Q17" s="414">
        <f t="shared" si="0"/>
        <v>0</v>
      </c>
      <c r="R17" s="414">
        <f t="shared" si="1"/>
        <v>0</v>
      </c>
      <c r="S17" s="414">
        <f t="shared" si="2"/>
        <v>0</v>
      </c>
      <c r="T17" s="414">
        <f t="shared" si="3"/>
        <v>0</v>
      </c>
      <c r="U17" s="313">
        <f>IF(D17="F",L17,0)</f>
        <v>0</v>
      </c>
      <c r="V17" s="313">
        <f t="shared" si="23"/>
        <v>0</v>
      </c>
      <c r="W17" s="313">
        <f t="shared" si="24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6"/>
        <v>0</v>
      </c>
      <c r="AD17" s="315">
        <f t="shared" si="6"/>
        <v>0</v>
      </c>
      <c r="AE17" s="316">
        <f t="shared" si="27"/>
        <v>0</v>
      </c>
      <c r="AF17" s="315">
        <f t="shared" si="28"/>
        <v>0</v>
      </c>
      <c r="AG17" s="316">
        <f t="shared" si="29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2.2166666666666668</v>
      </c>
      <c r="AV17" s="313">
        <f t="shared" si="19"/>
        <v>1.1083333333333334</v>
      </c>
      <c r="AW17" s="313">
        <f>IF(D17="V",AW16,(AW16+"07:36"))</f>
        <v>2.2166666666666668</v>
      </c>
      <c r="AX17" s="6" t="str">
        <f t="shared" si="20"/>
        <v>Di</v>
      </c>
      <c r="AY17" s="4">
        <f>IF((R40="M2.1")*AND(R41&lt;&gt;""),VLOOKUP(R41,Barema!$AU$5:$AV$31,2),)</f>
        <v>0</v>
      </c>
      <c r="AZ17" s="4" t="s">
        <v>10</v>
      </c>
      <c r="BA17" s="102"/>
    </row>
    <row r="18" spans="1:53" s="378" customFormat="1" x14ac:dyDescent="0.2">
      <c r="A18" s="309"/>
      <c r="B18" s="6" t="s">
        <v>179</v>
      </c>
      <c r="C18" s="311" t="s">
        <v>457</v>
      </c>
      <c r="D18" s="312"/>
      <c r="E18" s="312"/>
      <c r="F18" s="274"/>
      <c r="G18" s="274"/>
      <c r="H18" s="310"/>
      <c r="I18" s="310"/>
      <c r="J18" s="336"/>
      <c r="K18" s="336"/>
      <c r="L18" s="313">
        <f>(G18-F18)+(I18-H18)+(K18-J18)+AI18+AN18</f>
        <v>0</v>
      </c>
      <c r="M18" s="313">
        <f>M17+L18</f>
        <v>0.31666666666666665</v>
      </c>
      <c r="N18" s="338">
        <f>IF(Jul!$H$48="x",AU18+Jul!$N$37,AU18)</f>
        <v>9.8166666666666629</v>
      </c>
      <c r="O18" s="418" t="str">
        <f t="shared" si="21"/>
        <v>-</v>
      </c>
      <c r="P18" s="339">
        <f t="shared" si="22"/>
        <v>9.4999999999999964</v>
      </c>
      <c r="Q18" s="414">
        <f t="shared" si="0"/>
        <v>0</v>
      </c>
      <c r="R18" s="414">
        <f t="shared" si="1"/>
        <v>0</v>
      </c>
      <c r="S18" s="414">
        <f t="shared" si="2"/>
        <v>0</v>
      </c>
      <c r="T18" s="414">
        <f t="shared" si="3"/>
        <v>0</v>
      </c>
      <c r="U18" s="313">
        <f>IF(D18="F",L18,0)</f>
        <v>0</v>
      </c>
      <c r="V18" s="313">
        <f t="shared" si="23"/>
        <v>0</v>
      </c>
      <c r="W18" s="313">
        <f t="shared" si="24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6"/>
        <v>0</v>
      </c>
      <c r="AD18" s="315">
        <f t="shared" si="6"/>
        <v>0</v>
      </c>
      <c r="AE18" s="316">
        <f t="shared" si="27"/>
        <v>0</v>
      </c>
      <c r="AF18" s="315">
        <f t="shared" si="28"/>
        <v>0</v>
      </c>
      <c r="AG18" s="316">
        <f t="shared" si="29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2.5333333333333332</v>
      </c>
      <c r="AV18" s="313">
        <f t="shared" si="19"/>
        <v>1.2666666666666666</v>
      </c>
      <c r="AW18" s="313">
        <f>IF(D18="V",AW17,(AW17+"07:36"))</f>
        <v>2.5333333333333332</v>
      </c>
      <c r="AX18" s="6" t="str">
        <f t="shared" si="20"/>
        <v>Wo</v>
      </c>
      <c r="AY18" s="4">
        <f>IF((R40="M2.2")*AND(R41&lt;&gt;""),VLOOKUP(R41,Barema!$AX$5:$AY$31,2),)</f>
        <v>0</v>
      </c>
      <c r="AZ18" s="4" t="s">
        <v>11</v>
      </c>
      <c r="BA18" s="102"/>
    </row>
    <row r="19" spans="1:53" s="378" customFormat="1" x14ac:dyDescent="0.2">
      <c r="A19" s="309"/>
      <c r="B19" s="6" t="s">
        <v>167</v>
      </c>
      <c r="C19" s="311" t="s">
        <v>458</v>
      </c>
      <c r="D19" s="312"/>
      <c r="E19" s="312"/>
      <c r="F19" s="274"/>
      <c r="G19" s="274"/>
      <c r="H19" s="310"/>
      <c r="I19" s="310"/>
      <c r="J19" s="336"/>
      <c r="K19" s="336"/>
      <c r="L19" s="313">
        <f>(G19-F19)+(I19-H19)+(K19-J19)+AI19+AN19</f>
        <v>0</v>
      </c>
      <c r="M19" s="313">
        <f>M18+L19</f>
        <v>0.31666666666666665</v>
      </c>
      <c r="N19" s="338">
        <f>IF(Jul!$H$48="x",AU19+Jul!$N$37,AU19)</f>
        <v>10.133333333333329</v>
      </c>
      <c r="O19" s="418" t="str">
        <f t="shared" si="21"/>
        <v>-</v>
      </c>
      <c r="P19" s="339">
        <f t="shared" si="22"/>
        <v>9.8166666666666629</v>
      </c>
      <c r="Q19" s="414">
        <f t="shared" si="0"/>
        <v>0</v>
      </c>
      <c r="R19" s="414">
        <f t="shared" si="1"/>
        <v>0</v>
      </c>
      <c r="S19" s="414">
        <f t="shared" si="2"/>
        <v>0</v>
      </c>
      <c r="T19" s="414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2.8499999999999996</v>
      </c>
      <c r="AV19" s="313">
        <f t="shared" si="19"/>
        <v>1.4249999999999998</v>
      </c>
      <c r="AW19" s="313">
        <f>IF(D19="V",AW18,(AW18+"07:36"))</f>
        <v>2.8499999999999996</v>
      </c>
      <c r="AX19" s="6" t="str">
        <f t="shared" si="20"/>
        <v>Do</v>
      </c>
      <c r="AY19" s="4">
        <f>IF((R40="M3.1")*AND(R41&lt;&gt;""),VLOOKUP(R41,Barema!$BA$5:$BB$31,2),)</f>
        <v>0</v>
      </c>
      <c r="AZ19" s="4" t="s">
        <v>12</v>
      </c>
      <c r="BA19" s="102"/>
    </row>
    <row r="20" spans="1:53" s="378" customFormat="1" x14ac:dyDescent="0.2">
      <c r="A20" s="309"/>
      <c r="B20" s="6" t="s">
        <v>169</v>
      </c>
      <c r="C20" s="311" t="s">
        <v>459</v>
      </c>
      <c r="D20" s="312"/>
      <c r="E20" s="312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13">
        <f t="shared" si="25"/>
        <v>0.31666666666666665</v>
      </c>
      <c r="N20" s="338">
        <f>IF(Jul!$H$48="x",AU20+Jul!$N$37,AU20)</f>
        <v>10.449999999999996</v>
      </c>
      <c r="O20" s="418" t="str">
        <f t="shared" si="21"/>
        <v>-</v>
      </c>
      <c r="P20" s="339">
        <f t="shared" si="22"/>
        <v>10.133333333333329</v>
      </c>
      <c r="Q20" s="414">
        <f t="shared" si="0"/>
        <v>0</v>
      </c>
      <c r="R20" s="414">
        <f t="shared" si="1"/>
        <v>0</v>
      </c>
      <c r="S20" s="414">
        <f t="shared" si="2"/>
        <v>0</v>
      </c>
      <c r="T20" s="414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6"/>
        <v>0</v>
      </c>
      <c r="AD20" s="315">
        <f t="shared" si="6"/>
        <v>0</v>
      </c>
      <c r="AE20" s="316">
        <f t="shared" si="27"/>
        <v>0</v>
      </c>
      <c r="AF20" s="315">
        <f t="shared" si="28"/>
        <v>0</v>
      </c>
      <c r="AG20" s="316">
        <f t="shared" si="29"/>
        <v>0</v>
      </c>
      <c r="AH20" s="315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 t="shared" si="19"/>
        <v>1.583333333333333</v>
      </c>
      <c r="AW20" s="313">
        <f>IF(D20="V",AW19,(AW19+"07:36"))</f>
        <v>3.1666666666666661</v>
      </c>
      <c r="AX20" s="6" t="str">
        <f t="shared" si="20"/>
        <v>Vr</v>
      </c>
      <c r="AY20" s="4">
        <f>IF((R40="M3.2")*AND(R41&lt;&gt;""),VLOOKUP(R41,Barema!$BD$5:$BE$31,2),)</f>
        <v>0</v>
      </c>
      <c r="AZ20" s="4" t="s">
        <v>13</v>
      </c>
      <c r="BA20" s="102"/>
    </row>
    <row r="21" spans="1:53" s="376" customFormat="1" x14ac:dyDescent="0.2">
      <c r="A21" s="374"/>
      <c r="B21" s="362" t="s">
        <v>171</v>
      </c>
      <c r="C21" s="363" t="s">
        <v>460</v>
      </c>
      <c r="D21" s="364"/>
      <c r="E21" s="364"/>
      <c r="F21" s="365"/>
      <c r="G21" s="365"/>
      <c r="H21" s="365"/>
      <c r="I21" s="365"/>
      <c r="J21" s="375"/>
      <c r="K21" s="375"/>
      <c r="L21" s="366">
        <f>(G21-F21)+(I21-H21)+(K21-J21)</f>
        <v>0</v>
      </c>
      <c r="M21" s="366">
        <f>M20+L21</f>
        <v>0.31666666666666665</v>
      </c>
      <c r="N21" s="382">
        <f>IF(Jul!$H$48="x",AU21+Jul!$N$37,AU21)</f>
        <v>10.449999999999996</v>
      </c>
      <c r="O21" s="404" t="str">
        <f t="shared" si="21"/>
        <v>-</v>
      </c>
      <c r="P21" s="383">
        <f t="shared" si="22"/>
        <v>10.133333333333329</v>
      </c>
      <c r="Q21" s="403">
        <f t="shared" si="0"/>
        <v>0</v>
      </c>
      <c r="R21" s="403">
        <f t="shared" si="1"/>
        <v>0</v>
      </c>
      <c r="S21" s="403">
        <f t="shared" si="2"/>
        <v>0</v>
      </c>
      <c r="T21" s="403">
        <f t="shared" si="3"/>
        <v>0</v>
      </c>
      <c r="U21" s="366">
        <f>L21</f>
        <v>0</v>
      </c>
      <c r="V21" s="366">
        <f t="shared" si="23"/>
        <v>0</v>
      </c>
      <c r="W21" s="366">
        <f t="shared" si="24"/>
        <v>0</v>
      </c>
      <c r="X21" s="364"/>
      <c r="Y21" s="365"/>
      <c r="Z21" s="365"/>
      <c r="AA21" s="368">
        <f t="shared" si="4"/>
        <v>0</v>
      </c>
      <c r="AB21" s="368">
        <f t="shared" si="5"/>
        <v>0</v>
      </c>
      <c r="AC21" s="368">
        <f t="shared" si="26"/>
        <v>0</v>
      </c>
      <c r="AD21" s="368">
        <f t="shared" si="6"/>
        <v>0</v>
      </c>
      <c r="AE21" s="369">
        <f t="shared" si="27"/>
        <v>0</v>
      </c>
      <c r="AF21" s="368">
        <f t="shared" si="28"/>
        <v>0</v>
      </c>
      <c r="AG21" s="369">
        <f t="shared" si="29"/>
        <v>0</v>
      </c>
      <c r="AH21" s="368">
        <f t="shared" si="7"/>
        <v>0</v>
      </c>
      <c r="AI21" s="370">
        <f>IF((D21&lt;&gt;""),VLOOKUP(D21,Data!$E$36:$H$53,4),)</f>
        <v>0</v>
      </c>
      <c r="AJ21" s="370">
        <f>IF(U21&gt;0,L21,0)</f>
        <v>0</v>
      </c>
      <c r="AK21" s="371">
        <f>IF(L21&gt;0,D21,0)</f>
        <v>0</v>
      </c>
      <c r="AL21" s="371">
        <f t="shared" si="10"/>
        <v>0</v>
      </c>
      <c r="AM21" s="372">
        <f t="shared" si="11"/>
        <v>0</v>
      </c>
      <c r="AN21" s="370">
        <f t="shared" si="12"/>
        <v>0</v>
      </c>
      <c r="AO21" s="373">
        <f t="shared" si="13"/>
        <v>0</v>
      </c>
      <c r="AP21" s="373">
        <f t="shared" si="14"/>
        <v>0</v>
      </c>
      <c r="AQ21" s="373">
        <f t="shared" si="15"/>
        <v>0</v>
      </c>
      <c r="AR21" s="373">
        <f t="shared" si="16"/>
        <v>0</v>
      </c>
      <c r="AS21" s="371">
        <f t="shared" si="17"/>
        <v>0</v>
      </c>
      <c r="AT21" s="371">
        <f t="shared" si="18"/>
        <v>0</v>
      </c>
      <c r="AU21" s="366">
        <f>IF(Data!$H$8="x",AV21,AW21)</f>
        <v>3.1666666666666661</v>
      </c>
      <c r="AV21" s="366">
        <f t="shared" si="19"/>
        <v>1.583333333333333</v>
      </c>
      <c r="AW21" s="366">
        <f>AW20</f>
        <v>3.1666666666666661</v>
      </c>
      <c r="AX21" s="362" t="str">
        <f t="shared" si="20"/>
        <v>Za</v>
      </c>
      <c r="AY21" s="371">
        <f>IF((R40="M4.1")*AND(R41&lt;&gt;""),VLOOKUP(R41,Barema!$BG$5:$BH$34,2),)</f>
        <v>0</v>
      </c>
      <c r="AZ21" s="371" t="s">
        <v>14</v>
      </c>
      <c r="BA21" s="439"/>
    </row>
    <row r="22" spans="1:53" s="376" customFormat="1" x14ac:dyDescent="0.2">
      <c r="A22" s="374"/>
      <c r="B22" s="362" t="s">
        <v>173</v>
      </c>
      <c r="C22" s="363" t="s">
        <v>461</v>
      </c>
      <c r="D22" s="364"/>
      <c r="E22" s="403"/>
      <c r="F22" s="365"/>
      <c r="G22" s="365"/>
      <c r="H22" s="365"/>
      <c r="I22" s="365"/>
      <c r="J22" s="375"/>
      <c r="K22" s="375"/>
      <c r="L22" s="366">
        <f>(G22-F22)+(I22-H22)+(K22-J22)</f>
        <v>0</v>
      </c>
      <c r="M22" s="366">
        <f>M21+L22</f>
        <v>0.31666666666666665</v>
      </c>
      <c r="N22" s="382">
        <f>IF(Jul!$H$48="x",AU22+Jul!$N$37,AU22)</f>
        <v>10.449999999999996</v>
      </c>
      <c r="O22" s="404" t="str">
        <f t="shared" si="21"/>
        <v>-</v>
      </c>
      <c r="P22" s="383">
        <f t="shared" si="22"/>
        <v>10.133333333333329</v>
      </c>
      <c r="Q22" s="403">
        <f t="shared" si="0"/>
        <v>0</v>
      </c>
      <c r="R22" s="403">
        <f t="shared" si="1"/>
        <v>0</v>
      </c>
      <c r="S22" s="403">
        <f t="shared" si="2"/>
        <v>0</v>
      </c>
      <c r="T22" s="403">
        <f t="shared" si="3"/>
        <v>0</v>
      </c>
      <c r="U22" s="366">
        <f>L22</f>
        <v>0</v>
      </c>
      <c r="V22" s="366">
        <f t="shared" si="23"/>
        <v>0</v>
      </c>
      <c r="W22" s="366">
        <f t="shared" si="24"/>
        <v>0</v>
      </c>
      <c r="X22" s="364"/>
      <c r="Y22" s="365"/>
      <c r="Z22" s="365"/>
      <c r="AA22" s="368">
        <f t="shared" si="4"/>
        <v>0</v>
      </c>
      <c r="AB22" s="368">
        <f t="shared" si="5"/>
        <v>0</v>
      </c>
      <c r="AC22" s="368">
        <f t="shared" si="26"/>
        <v>0</v>
      </c>
      <c r="AD22" s="368">
        <f t="shared" si="6"/>
        <v>0</v>
      </c>
      <c r="AE22" s="369">
        <f t="shared" si="27"/>
        <v>0</v>
      </c>
      <c r="AF22" s="368">
        <f t="shared" si="28"/>
        <v>0</v>
      </c>
      <c r="AG22" s="369">
        <f t="shared" si="29"/>
        <v>0</v>
      </c>
      <c r="AH22" s="368">
        <f t="shared" si="7"/>
        <v>0</v>
      </c>
      <c r="AI22" s="370">
        <f>IF((D22&lt;&gt;""),VLOOKUP(D22,Data!$E$36:$H$53,4),)</f>
        <v>0</v>
      </c>
      <c r="AJ22" s="370">
        <f>IF(U22&gt;0,L22,0)</f>
        <v>0</v>
      </c>
      <c r="AK22" s="371">
        <f>IF(L22&gt;0,D22,0)</f>
        <v>0</v>
      </c>
      <c r="AL22" s="371">
        <f t="shared" si="10"/>
        <v>0</v>
      </c>
      <c r="AM22" s="372">
        <f t="shared" si="11"/>
        <v>0</v>
      </c>
      <c r="AN22" s="370">
        <f t="shared" si="12"/>
        <v>0</v>
      </c>
      <c r="AO22" s="373">
        <f t="shared" si="13"/>
        <v>0</v>
      </c>
      <c r="AP22" s="373">
        <f t="shared" si="14"/>
        <v>0</v>
      </c>
      <c r="AQ22" s="373">
        <f t="shared" si="15"/>
        <v>0</v>
      </c>
      <c r="AR22" s="373">
        <f t="shared" si="16"/>
        <v>0</v>
      </c>
      <c r="AS22" s="371">
        <f t="shared" si="17"/>
        <v>0</v>
      </c>
      <c r="AT22" s="371">
        <f t="shared" si="18"/>
        <v>0</v>
      </c>
      <c r="AU22" s="366">
        <f>IF(Data!$H$8="x",AV22,AW22)</f>
        <v>3.1666666666666661</v>
      </c>
      <c r="AV22" s="366">
        <f t="shared" si="19"/>
        <v>1.583333333333333</v>
      </c>
      <c r="AW22" s="366">
        <f>AW21</f>
        <v>3.1666666666666661</v>
      </c>
      <c r="AX22" s="362" t="str">
        <f t="shared" si="20"/>
        <v>Zo</v>
      </c>
      <c r="AY22" s="371">
        <f>IF((R40="M4.2")*AND(R41&lt;&gt;""),VLOOKUP(R41,Barema!$BJ$5:$BK$31,2),)</f>
        <v>0</v>
      </c>
      <c r="AZ22" s="371" t="s">
        <v>15</v>
      </c>
      <c r="BA22" s="439"/>
    </row>
    <row r="23" spans="1:53" s="378" customFormat="1" x14ac:dyDescent="0.2">
      <c r="A23" s="309"/>
      <c r="B23" s="6" t="s">
        <v>175</v>
      </c>
      <c r="C23" s="311" t="s">
        <v>462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 t="shared" si="25"/>
        <v>0.31666666666666665</v>
      </c>
      <c r="N23" s="338">
        <f>IF(Jul!$H$48="x",AU23+Jul!$N$37,AU23)</f>
        <v>10.766666666666662</v>
      </c>
      <c r="O23" s="418" t="str">
        <f t="shared" si="21"/>
        <v>-</v>
      </c>
      <c r="P23" s="339">
        <f t="shared" si="22"/>
        <v>10.449999999999996</v>
      </c>
      <c r="Q23" s="414">
        <f t="shared" si="0"/>
        <v>0</v>
      </c>
      <c r="R23" s="414">
        <f t="shared" si="1"/>
        <v>0</v>
      </c>
      <c r="S23" s="414">
        <f t="shared" si="2"/>
        <v>0</v>
      </c>
      <c r="T23" s="414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6"/>
        <v>0</v>
      </c>
      <c r="AD23" s="315">
        <f t="shared" si="6"/>
        <v>0</v>
      </c>
      <c r="AE23" s="316">
        <f t="shared" si="27"/>
        <v>0</v>
      </c>
      <c r="AF23" s="315">
        <f t="shared" si="28"/>
        <v>0</v>
      </c>
      <c r="AG23" s="316">
        <f t="shared" si="29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3.4833333333333325</v>
      </c>
      <c r="AV23" s="313">
        <f t="shared" si="19"/>
        <v>1.7416666666666663</v>
      </c>
      <c r="AW23" s="313">
        <f>IF(D23="V",AW22,(AW22+"07:36"))</f>
        <v>3.4833333333333325</v>
      </c>
      <c r="AX23" s="6" t="str">
        <f t="shared" si="20"/>
        <v>Ma</v>
      </c>
      <c r="AY23" s="4">
        <f>IF((R40="M5.1")*AND(R41&lt;&gt;""),VLOOKUP(R41,Barema!$BM$5:$BN$34,2),)</f>
        <v>0</v>
      </c>
      <c r="AZ23" s="4" t="s">
        <v>16</v>
      </c>
      <c r="BA23" s="102"/>
    </row>
    <row r="24" spans="1:53" s="378" customFormat="1" x14ac:dyDescent="0.2">
      <c r="A24" s="309"/>
      <c r="B24" s="6" t="s">
        <v>177</v>
      </c>
      <c r="C24" s="311" t="s">
        <v>463</v>
      </c>
      <c r="D24" s="312"/>
      <c r="E24" s="312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 t="shared" si="25"/>
        <v>0.31666666666666665</v>
      </c>
      <c r="N24" s="338">
        <f>IF(Jul!$H$48="x",AU24+Jul!$N$37,AU24)</f>
        <v>11.083333333333329</v>
      </c>
      <c r="O24" s="418" t="str">
        <f t="shared" si="21"/>
        <v>-</v>
      </c>
      <c r="P24" s="339">
        <f t="shared" si="22"/>
        <v>10.766666666666662</v>
      </c>
      <c r="Q24" s="414">
        <f t="shared" si="0"/>
        <v>0</v>
      </c>
      <c r="R24" s="414">
        <f t="shared" si="1"/>
        <v>0</v>
      </c>
      <c r="S24" s="414">
        <f t="shared" si="2"/>
        <v>0</v>
      </c>
      <c r="T24" s="414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6"/>
        <v>0</v>
      </c>
      <c r="AD24" s="315">
        <f t="shared" si="6"/>
        <v>0</v>
      </c>
      <c r="AE24" s="316">
        <f t="shared" si="27"/>
        <v>0</v>
      </c>
      <c r="AF24" s="315">
        <f t="shared" si="28"/>
        <v>0</v>
      </c>
      <c r="AG24" s="316">
        <f t="shared" si="29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3.7999999999999989</v>
      </c>
      <c r="AV24" s="313">
        <f t="shared" si="19"/>
        <v>1.8999999999999995</v>
      </c>
      <c r="AW24" s="313">
        <f>IF(D24="V",AW23,(AW23+"07:36"))</f>
        <v>3.7999999999999989</v>
      </c>
      <c r="AX24" s="6" t="str">
        <f t="shared" si="20"/>
        <v>Di</v>
      </c>
      <c r="AY24" s="4">
        <f>IF((R40="M5.2")*AND(R41&lt;&gt;""),VLOOKUP(R41,Barema!$BP$5:$BQ$31,2),)</f>
        <v>0</v>
      </c>
      <c r="AZ24" s="4" t="s">
        <v>17</v>
      </c>
      <c r="BA24" s="102"/>
    </row>
    <row r="25" spans="1:53" s="378" customFormat="1" x14ac:dyDescent="0.2">
      <c r="A25" s="309"/>
      <c r="B25" s="6" t="s">
        <v>179</v>
      </c>
      <c r="C25" s="311" t="s">
        <v>464</v>
      </c>
      <c r="D25" s="312"/>
      <c r="E25" s="312"/>
      <c r="F25" s="274"/>
      <c r="G25" s="274"/>
      <c r="H25" s="310"/>
      <c r="I25" s="310"/>
      <c r="J25" s="336"/>
      <c r="K25" s="336"/>
      <c r="L25" s="313">
        <f>(G25-F25)+(I25-H25)+(K25-J25)+AI25+AN25</f>
        <v>0</v>
      </c>
      <c r="M25" s="313">
        <f>M24+L25</f>
        <v>0.31666666666666665</v>
      </c>
      <c r="N25" s="338">
        <f>IF(Jul!$H$48="x",AU25+Jul!$N$37,AU25)</f>
        <v>11.399999999999995</v>
      </c>
      <c r="O25" s="418" t="str">
        <f t="shared" si="21"/>
        <v>-</v>
      </c>
      <c r="P25" s="339">
        <f t="shared" si="22"/>
        <v>11.083333333333329</v>
      </c>
      <c r="Q25" s="414">
        <f t="shared" si="0"/>
        <v>0</v>
      </c>
      <c r="R25" s="414">
        <f t="shared" si="1"/>
        <v>0</v>
      </c>
      <c r="S25" s="414">
        <f t="shared" si="2"/>
        <v>0</v>
      </c>
      <c r="T25" s="414">
        <f t="shared" si="3"/>
        <v>0</v>
      </c>
      <c r="U25" s="313">
        <f>IF(D25="F",L25,0)</f>
        <v>0</v>
      </c>
      <c r="V25" s="313">
        <f t="shared" si="23"/>
        <v>0</v>
      </c>
      <c r="W25" s="313">
        <f t="shared" si="24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6"/>
        <v>0</v>
      </c>
      <c r="AD25" s="315">
        <f t="shared" si="6"/>
        <v>0</v>
      </c>
      <c r="AE25" s="316">
        <f t="shared" si="27"/>
        <v>0</v>
      </c>
      <c r="AF25" s="315">
        <f t="shared" si="28"/>
        <v>0</v>
      </c>
      <c r="AG25" s="316">
        <f t="shared" si="29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4.1166666666666654</v>
      </c>
      <c r="AV25" s="313">
        <f t="shared" si="19"/>
        <v>2.0583333333333327</v>
      </c>
      <c r="AW25" s="313">
        <f>IF(D25="V",AW24,(AW24+"07:36"))</f>
        <v>4.1166666666666654</v>
      </c>
      <c r="AX25" s="6" t="str">
        <f t="shared" si="20"/>
        <v>Wo</v>
      </c>
      <c r="AY25" s="4">
        <f>IF((R40="M6")*AND(R41&lt;&gt;""),VLOOKUP(R41,Barema!$BS$5:$BT$31,2),)</f>
        <v>0</v>
      </c>
      <c r="AZ25" s="4" t="s">
        <v>18</v>
      </c>
      <c r="BA25" s="102"/>
    </row>
    <row r="26" spans="1:53" s="378" customFormat="1" x14ac:dyDescent="0.2">
      <c r="A26" s="309"/>
      <c r="B26" s="6" t="s">
        <v>167</v>
      </c>
      <c r="C26" s="311" t="s">
        <v>465</v>
      </c>
      <c r="D26" s="312"/>
      <c r="E26" s="312"/>
      <c r="F26" s="274"/>
      <c r="G26" s="274"/>
      <c r="H26" s="310"/>
      <c r="I26" s="310"/>
      <c r="J26" s="336"/>
      <c r="K26" s="336"/>
      <c r="L26" s="313">
        <f>(G26-F26)+(I26-H26)+(K26-J26)+AI26+AN26</f>
        <v>0</v>
      </c>
      <c r="M26" s="313">
        <f>M25+L26</f>
        <v>0.31666666666666665</v>
      </c>
      <c r="N26" s="338">
        <f>IF(Jul!$H$48="x",AU26+Jul!$N$37,AU26)</f>
        <v>11.716666666666661</v>
      </c>
      <c r="O26" s="418" t="str">
        <f t="shared" si="21"/>
        <v>-</v>
      </c>
      <c r="P26" s="339">
        <f t="shared" si="22"/>
        <v>11.399999999999995</v>
      </c>
      <c r="Q26" s="414">
        <f t="shared" si="0"/>
        <v>0</v>
      </c>
      <c r="R26" s="414">
        <f t="shared" si="1"/>
        <v>0</v>
      </c>
      <c r="S26" s="414">
        <f t="shared" si="2"/>
        <v>0</v>
      </c>
      <c r="T26" s="414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6"/>
        <v>0</v>
      </c>
      <c r="AD26" s="315">
        <f t="shared" si="6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4.4333333333333318</v>
      </c>
      <c r="AV26" s="313">
        <f t="shared" si="19"/>
        <v>2.2166666666666659</v>
      </c>
      <c r="AW26" s="313">
        <f>IF(D26="V",AW25,(AW25+"07:36"))</f>
        <v>4.4333333333333318</v>
      </c>
      <c r="AX26" s="6" t="str">
        <f t="shared" si="20"/>
        <v>Do</v>
      </c>
      <c r="AY26" s="4">
        <f>IF((R40="M7")*AND(R41&lt;&gt;""),VLOOKUP(R41,Barema!$BV$5:$BW$31,2),)</f>
        <v>0</v>
      </c>
      <c r="AZ26" s="4" t="s">
        <v>19</v>
      </c>
      <c r="BA26" s="102"/>
    </row>
    <row r="27" spans="1:53" s="378" customFormat="1" x14ac:dyDescent="0.2">
      <c r="A27" s="309"/>
      <c r="B27" s="6" t="s">
        <v>169</v>
      </c>
      <c r="C27" s="311" t="s">
        <v>466</v>
      </c>
      <c r="D27" s="312"/>
      <c r="E27" s="312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13">
        <f t="shared" si="25"/>
        <v>0.31666666666666665</v>
      </c>
      <c r="N27" s="338">
        <f>IF(Jul!$H$48="x",AU27+Jul!$N$37,AU27)</f>
        <v>12.033333333333328</v>
      </c>
      <c r="O27" s="418" t="str">
        <f t="shared" si="21"/>
        <v>-</v>
      </c>
      <c r="P27" s="339">
        <f t="shared" si="22"/>
        <v>11.716666666666661</v>
      </c>
      <c r="Q27" s="414">
        <f t="shared" si="0"/>
        <v>0</v>
      </c>
      <c r="R27" s="414">
        <f t="shared" si="1"/>
        <v>0</v>
      </c>
      <c r="S27" s="414">
        <f t="shared" si="2"/>
        <v>0</v>
      </c>
      <c r="T27" s="414">
        <f t="shared" si="3"/>
        <v>0</v>
      </c>
      <c r="U27" s="313">
        <f>IF(D27="F",L27,0)</f>
        <v>0</v>
      </c>
      <c r="V27" s="313">
        <f t="shared" si="23"/>
        <v>0</v>
      </c>
      <c r="W27" s="313">
        <f t="shared" si="24"/>
        <v>0</v>
      </c>
      <c r="X27" s="312"/>
      <c r="Y27" s="310"/>
      <c r="Z27" s="310"/>
      <c r="AA27" s="315">
        <f t="shared" si="4"/>
        <v>0</v>
      </c>
      <c r="AB27" s="315">
        <f t="shared" si="5"/>
        <v>0</v>
      </c>
      <c r="AC27" s="315">
        <f t="shared" si="26"/>
        <v>0</v>
      </c>
      <c r="AD27" s="315">
        <f t="shared" si="6"/>
        <v>0</v>
      </c>
      <c r="AE27" s="316">
        <f t="shared" si="27"/>
        <v>0</v>
      </c>
      <c r="AF27" s="315">
        <f t="shared" si="28"/>
        <v>0</v>
      </c>
      <c r="AG27" s="316">
        <f t="shared" si="29"/>
        <v>0</v>
      </c>
      <c r="AH27" s="315">
        <f t="shared" si="7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11"/>
        <v>0</v>
      </c>
      <c r="AN27" s="123">
        <f t="shared" si="12"/>
        <v>0</v>
      </c>
      <c r="AO27" s="317">
        <f t="shared" si="13"/>
        <v>0</v>
      </c>
      <c r="AP27" s="317">
        <f t="shared" si="14"/>
        <v>0</v>
      </c>
      <c r="AQ27" s="317">
        <f t="shared" si="15"/>
        <v>0</v>
      </c>
      <c r="AR27" s="317">
        <f t="shared" si="16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Vr</v>
      </c>
      <c r="AY27" s="4">
        <f>IF((R40="M7bis")*AND(R41&lt;&gt;""),VLOOKUP(R41,Barema!$BY$5:$BZ$31,2),)</f>
        <v>0</v>
      </c>
      <c r="AZ27" s="4" t="s">
        <v>20</v>
      </c>
      <c r="BA27" s="102"/>
    </row>
    <row r="28" spans="1:53" s="376" customFormat="1" x14ac:dyDescent="0.2">
      <c r="A28" s="374"/>
      <c r="B28" s="362" t="s">
        <v>171</v>
      </c>
      <c r="C28" s="363" t="s">
        <v>467</v>
      </c>
      <c r="D28" s="364"/>
      <c r="E28" s="364"/>
      <c r="F28" s="365"/>
      <c r="G28" s="365"/>
      <c r="H28" s="365"/>
      <c r="I28" s="365"/>
      <c r="J28" s="375"/>
      <c r="K28" s="375"/>
      <c r="L28" s="366">
        <f>(G28-F28)+(I28-H28)+(K28-J28)</f>
        <v>0</v>
      </c>
      <c r="M28" s="366">
        <f t="shared" si="25"/>
        <v>0.31666666666666665</v>
      </c>
      <c r="N28" s="382">
        <f>IF(Jul!$H$48="x",AU28+Jul!$N$37,AU28)</f>
        <v>12.033333333333328</v>
      </c>
      <c r="O28" s="404" t="str">
        <f t="shared" si="21"/>
        <v>-</v>
      </c>
      <c r="P28" s="383">
        <f t="shared" si="22"/>
        <v>11.716666666666661</v>
      </c>
      <c r="Q28" s="403">
        <f t="shared" si="0"/>
        <v>0</v>
      </c>
      <c r="R28" s="403">
        <f t="shared" si="1"/>
        <v>0</v>
      </c>
      <c r="S28" s="403">
        <f t="shared" si="2"/>
        <v>0</v>
      </c>
      <c r="T28" s="403">
        <f t="shared" si="3"/>
        <v>0</v>
      </c>
      <c r="U28" s="366">
        <f>L28</f>
        <v>0</v>
      </c>
      <c r="V28" s="366">
        <f t="shared" si="23"/>
        <v>0</v>
      </c>
      <c r="W28" s="366">
        <f t="shared" si="24"/>
        <v>0</v>
      </c>
      <c r="X28" s="364"/>
      <c r="Y28" s="365"/>
      <c r="Z28" s="365"/>
      <c r="AA28" s="368">
        <f t="shared" si="4"/>
        <v>0</v>
      </c>
      <c r="AB28" s="368">
        <f t="shared" si="5"/>
        <v>0</v>
      </c>
      <c r="AC28" s="368">
        <f t="shared" si="26"/>
        <v>0</v>
      </c>
      <c r="AD28" s="368">
        <f t="shared" si="6"/>
        <v>0</v>
      </c>
      <c r="AE28" s="369">
        <f t="shared" si="27"/>
        <v>0</v>
      </c>
      <c r="AF28" s="368">
        <f t="shared" si="28"/>
        <v>0</v>
      </c>
      <c r="AG28" s="369">
        <f t="shared" si="29"/>
        <v>0</v>
      </c>
      <c r="AH28" s="368">
        <f t="shared" si="7"/>
        <v>0</v>
      </c>
      <c r="AI28" s="370">
        <f>IF((D28&lt;&gt;""),VLOOKUP(D28,Data!$E$36:$H$53,4),)</f>
        <v>0</v>
      </c>
      <c r="AJ28" s="370">
        <f t="shared" si="8"/>
        <v>0</v>
      </c>
      <c r="AK28" s="371">
        <f t="shared" si="9"/>
        <v>0</v>
      </c>
      <c r="AL28" s="371">
        <f t="shared" si="10"/>
        <v>0</v>
      </c>
      <c r="AM28" s="372">
        <f t="shared" si="11"/>
        <v>0</v>
      </c>
      <c r="AN28" s="370">
        <f t="shared" si="12"/>
        <v>0</v>
      </c>
      <c r="AO28" s="373">
        <f t="shared" si="13"/>
        <v>0</v>
      </c>
      <c r="AP28" s="373">
        <f t="shared" si="14"/>
        <v>0</v>
      </c>
      <c r="AQ28" s="373">
        <f t="shared" si="15"/>
        <v>0</v>
      </c>
      <c r="AR28" s="373">
        <f t="shared" si="16"/>
        <v>0</v>
      </c>
      <c r="AS28" s="371">
        <f t="shared" si="17"/>
        <v>0</v>
      </c>
      <c r="AT28" s="371">
        <f t="shared" si="18"/>
        <v>0</v>
      </c>
      <c r="AU28" s="366">
        <f>IF(Data!$H$8="x",AV28,AW28)</f>
        <v>4.7499999999999982</v>
      </c>
      <c r="AV28" s="366">
        <f t="shared" si="19"/>
        <v>2.3749999999999991</v>
      </c>
      <c r="AW28" s="366">
        <f>AW27</f>
        <v>4.7499999999999982</v>
      </c>
      <c r="AX28" s="362" t="str">
        <f t="shared" si="20"/>
        <v>Za</v>
      </c>
      <c r="AY28" s="371">
        <f>IF((R40="O1")*AND(R41&lt;&gt;""),VLOOKUP(R41,Barema!$Q$39:$R$65,2),)</f>
        <v>0</v>
      </c>
      <c r="AZ28" s="371" t="s">
        <v>21</v>
      </c>
      <c r="BA28" s="439"/>
    </row>
    <row r="29" spans="1:53" s="376" customFormat="1" x14ac:dyDescent="0.2">
      <c r="A29" s="374"/>
      <c r="B29" s="362" t="s">
        <v>173</v>
      </c>
      <c r="C29" s="363" t="s">
        <v>468</v>
      </c>
      <c r="D29" s="364"/>
      <c r="E29" s="403"/>
      <c r="F29" s="365"/>
      <c r="G29" s="365"/>
      <c r="H29" s="365"/>
      <c r="I29" s="365"/>
      <c r="J29" s="375"/>
      <c r="K29" s="375"/>
      <c r="L29" s="366">
        <f>(G29-F29)+(I29-H29)+(K29-J29)</f>
        <v>0</v>
      </c>
      <c r="M29" s="366">
        <f t="shared" si="25"/>
        <v>0.31666666666666665</v>
      </c>
      <c r="N29" s="382">
        <f>IF(Jul!$H$48="x",AU29+Jul!$N$37,AU29)</f>
        <v>12.033333333333328</v>
      </c>
      <c r="O29" s="404" t="str">
        <f t="shared" si="21"/>
        <v>-</v>
      </c>
      <c r="P29" s="383">
        <f t="shared" si="22"/>
        <v>11.716666666666661</v>
      </c>
      <c r="Q29" s="403">
        <f t="shared" si="0"/>
        <v>0</v>
      </c>
      <c r="R29" s="403">
        <f t="shared" si="1"/>
        <v>0</v>
      </c>
      <c r="S29" s="403">
        <f t="shared" si="2"/>
        <v>0</v>
      </c>
      <c r="T29" s="403">
        <f t="shared" si="3"/>
        <v>0</v>
      </c>
      <c r="U29" s="366">
        <f>L29</f>
        <v>0</v>
      </c>
      <c r="V29" s="366">
        <f t="shared" si="23"/>
        <v>0</v>
      </c>
      <c r="W29" s="366">
        <f t="shared" si="24"/>
        <v>0</v>
      </c>
      <c r="X29" s="364"/>
      <c r="Y29" s="365"/>
      <c r="Z29" s="365"/>
      <c r="AA29" s="368">
        <f t="shared" si="4"/>
        <v>0</v>
      </c>
      <c r="AB29" s="368">
        <f t="shared" si="5"/>
        <v>0</v>
      </c>
      <c r="AC29" s="368">
        <f t="shared" si="26"/>
        <v>0</v>
      </c>
      <c r="AD29" s="368">
        <f t="shared" si="6"/>
        <v>0</v>
      </c>
      <c r="AE29" s="369">
        <f t="shared" si="27"/>
        <v>0</v>
      </c>
      <c r="AF29" s="368">
        <f t="shared" si="28"/>
        <v>0</v>
      </c>
      <c r="AG29" s="369">
        <f t="shared" si="29"/>
        <v>0</v>
      </c>
      <c r="AH29" s="368">
        <f t="shared" si="7"/>
        <v>0</v>
      </c>
      <c r="AI29" s="370">
        <f>IF((D29&lt;&gt;""),VLOOKUP(D29,Data!$E$36:$H$53,4),)</f>
        <v>0</v>
      </c>
      <c r="AJ29" s="370">
        <f t="shared" si="8"/>
        <v>0</v>
      </c>
      <c r="AK29" s="371">
        <f t="shared" si="9"/>
        <v>0</v>
      </c>
      <c r="AL29" s="371">
        <f t="shared" si="10"/>
        <v>0</v>
      </c>
      <c r="AM29" s="372">
        <f t="shared" si="11"/>
        <v>0</v>
      </c>
      <c r="AN29" s="370">
        <f t="shared" si="12"/>
        <v>0</v>
      </c>
      <c r="AO29" s="373">
        <f t="shared" si="13"/>
        <v>0</v>
      </c>
      <c r="AP29" s="373">
        <f t="shared" si="14"/>
        <v>0</v>
      </c>
      <c r="AQ29" s="373">
        <f t="shared" si="15"/>
        <v>0</v>
      </c>
      <c r="AR29" s="373">
        <f t="shared" si="16"/>
        <v>0</v>
      </c>
      <c r="AS29" s="371">
        <f t="shared" si="17"/>
        <v>0</v>
      </c>
      <c r="AT29" s="371">
        <f t="shared" si="18"/>
        <v>0</v>
      </c>
      <c r="AU29" s="366">
        <f>IF(Data!$H$8="x",AV29,AW29)</f>
        <v>4.7499999999999982</v>
      </c>
      <c r="AV29" s="366">
        <f>AW29/2</f>
        <v>2.3749999999999991</v>
      </c>
      <c r="AW29" s="366">
        <f>AW28</f>
        <v>4.7499999999999982</v>
      </c>
      <c r="AX29" s="362" t="str">
        <f t="shared" si="20"/>
        <v>Zo</v>
      </c>
      <c r="AY29" s="371">
        <f>IF((R40="O2")*AND(R41&lt;&gt;""),VLOOKUP(R41,Barema!$T$39:$U$65,2),)</f>
        <v>0</v>
      </c>
      <c r="AZ29" s="371" t="s">
        <v>22</v>
      </c>
      <c r="BA29" s="439"/>
    </row>
    <row r="30" spans="1:53" s="378" customFormat="1" x14ac:dyDescent="0.2">
      <c r="A30" s="309"/>
      <c r="B30" s="6" t="s">
        <v>175</v>
      </c>
      <c r="C30" s="311" t="s">
        <v>469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13">
        <f t="shared" si="25"/>
        <v>0.31666666666666665</v>
      </c>
      <c r="N30" s="338">
        <f>IF(Jul!$H$48="x",AU30+Jul!$N$37,AU30)</f>
        <v>12.349999999999994</v>
      </c>
      <c r="O30" s="418" t="str">
        <f t="shared" si="21"/>
        <v>-</v>
      </c>
      <c r="P30" s="339">
        <f t="shared" si="22"/>
        <v>12.033333333333328</v>
      </c>
      <c r="Q30" s="414">
        <f t="shared" si="0"/>
        <v>0</v>
      </c>
      <c r="R30" s="414">
        <f t="shared" si="1"/>
        <v>0</v>
      </c>
      <c r="S30" s="414">
        <f t="shared" si="2"/>
        <v>0</v>
      </c>
      <c r="T30" s="414">
        <f t="shared" si="3"/>
        <v>0</v>
      </c>
      <c r="U30" s="338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6"/>
        <v>0</v>
      </c>
      <c r="AD30" s="315">
        <f t="shared" si="6"/>
        <v>0</v>
      </c>
      <c r="AE30" s="316">
        <f t="shared" si="27"/>
        <v>0</v>
      </c>
      <c r="AF30" s="315">
        <f t="shared" si="28"/>
        <v>0</v>
      </c>
      <c r="AG30" s="316">
        <f t="shared" si="29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5.0666666666666647</v>
      </c>
      <c r="AV30" s="313">
        <f>AW30/2</f>
        <v>2.5333333333333323</v>
      </c>
      <c r="AW30" s="313">
        <f>IF(D30="V",AW29,(AW29+"07:36"))</f>
        <v>5.0666666666666647</v>
      </c>
      <c r="AX30" s="6" t="str">
        <f t="shared" si="20"/>
        <v>Ma</v>
      </c>
      <c r="AY30" s="4">
        <f>IF((R40="O2ir")*AND(R41&lt;&gt;""),VLOOKUP(R41,Barema!$AR$39:$AS$65,2),)</f>
        <v>0</v>
      </c>
      <c r="AZ30" s="4" t="s">
        <v>30</v>
      </c>
      <c r="BA30" s="102"/>
    </row>
    <row r="31" spans="1:53" s="378" customFormat="1" x14ac:dyDescent="0.2">
      <c r="A31" s="309"/>
      <c r="B31" s="6" t="s">
        <v>177</v>
      </c>
      <c r="C31" s="311" t="s">
        <v>470</v>
      </c>
      <c r="D31" s="312"/>
      <c r="E31" s="312"/>
      <c r="F31" s="274"/>
      <c r="G31" s="274"/>
      <c r="H31" s="310"/>
      <c r="I31" s="310"/>
      <c r="J31" s="336"/>
      <c r="K31" s="336"/>
      <c r="L31" s="313">
        <f>(G31-F31)+(I31-H31)+(K31-J31)+AI31+AN31</f>
        <v>0</v>
      </c>
      <c r="M31" s="313">
        <f t="shared" si="25"/>
        <v>0.31666666666666665</v>
      </c>
      <c r="N31" s="338">
        <f>IF(Jul!$H$48="x",AU31+Jul!$N$37,AU31)</f>
        <v>12.666666666666661</v>
      </c>
      <c r="O31" s="418" t="str">
        <f t="shared" si="21"/>
        <v>-</v>
      </c>
      <c r="P31" s="339">
        <f t="shared" si="22"/>
        <v>12.349999999999994</v>
      </c>
      <c r="Q31" s="414">
        <f t="shared" si="0"/>
        <v>0</v>
      </c>
      <c r="R31" s="414">
        <f t="shared" si="1"/>
        <v>0</v>
      </c>
      <c r="S31" s="414">
        <f t="shared" si="2"/>
        <v>0</v>
      </c>
      <c r="T31" s="414">
        <f t="shared" si="3"/>
        <v>0</v>
      </c>
      <c r="U31" s="338">
        <f>IF(D31="F",L31,0)</f>
        <v>0</v>
      </c>
      <c r="V31" s="313">
        <f t="shared" si="23"/>
        <v>0</v>
      </c>
      <c r="W31" s="313">
        <f t="shared" si="24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6"/>
        <v>0</v>
      </c>
      <c r="AD31" s="315">
        <f t="shared" si="6"/>
        <v>0</v>
      </c>
      <c r="AE31" s="316">
        <f t="shared" si="27"/>
        <v>0</v>
      </c>
      <c r="AF31" s="315">
        <f t="shared" si="28"/>
        <v>0</v>
      </c>
      <c r="AG31" s="316">
        <f t="shared" si="29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5.3833333333333311</v>
      </c>
      <c r="AV31" s="313">
        <f t="shared" si="19"/>
        <v>2.6916666666666655</v>
      </c>
      <c r="AW31" s="313">
        <f>IF(D31="V",AW30,(AW30+"07:36"))</f>
        <v>5.3833333333333311</v>
      </c>
      <c r="AX31" s="6" t="str">
        <f t="shared" si="20"/>
        <v>Di</v>
      </c>
      <c r="AY31" s="4">
        <f>IF((R40="O3")*AND(R41&lt;&gt;""),VLOOKUP(R41,Barema!$W$39:$X$65,2),)</f>
        <v>0</v>
      </c>
      <c r="AZ31" s="4" t="s">
        <v>23</v>
      </c>
      <c r="BA31" s="102"/>
    </row>
    <row r="32" spans="1:53" s="378" customFormat="1" x14ac:dyDescent="0.2">
      <c r="A32" s="309"/>
      <c r="B32" s="6" t="s">
        <v>179</v>
      </c>
      <c r="C32" s="311" t="s">
        <v>471</v>
      </c>
      <c r="D32" s="312"/>
      <c r="E32" s="312"/>
      <c r="F32" s="274"/>
      <c r="G32" s="274"/>
      <c r="H32" s="310"/>
      <c r="I32" s="310"/>
      <c r="J32" s="336"/>
      <c r="K32" s="336"/>
      <c r="L32" s="313">
        <f>(G32-F32)+(I32-H32)+(K32-J32)+AI32+AN32</f>
        <v>0</v>
      </c>
      <c r="M32" s="313">
        <f>M31+L32</f>
        <v>0.31666666666666665</v>
      </c>
      <c r="N32" s="338">
        <f>IF(Jul!$H$48="x",AU32+Jul!$N$37,AU32)</f>
        <v>12.983333333333327</v>
      </c>
      <c r="O32" s="418" t="str">
        <f t="shared" si="21"/>
        <v>-</v>
      </c>
      <c r="P32" s="339">
        <f t="shared" si="22"/>
        <v>12.666666666666661</v>
      </c>
      <c r="Q32" s="414">
        <f t="shared" si="0"/>
        <v>0</v>
      </c>
      <c r="R32" s="414">
        <f t="shared" si="1"/>
        <v>0</v>
      </c>
      <c r="S32" s="414">
        <f t="shared" si="2"/>
        <v>0</v>
      </c>
      <c r="T32" s="414">
        <f t="shared" si="3"/>
        <v>0</v>
      </c>
      <c r="U32" s="338">
        <f>IF(D32="F",L32,0)</f>
        <v>0</v>
      </c>
      <c r="V32" s="313">
        <f t="shared" si="23"/>
        <v>0</v>
      </c>
      <c r="W32" s="313">
        <f t="shared" si="24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6"/>
        <v>0</v>
      </c>
      <c r="AD32" s="315">
        <f t="shared" si="6"/>
        <v>0</v>
      </c>
      <c r="AE32" s="316">
        <f t="shared" si="27"/>
        <v>0</v>
      </c>
      <c r="AF32" s="315">
        <f t="shared" si="28"/>
        <v>0</v>
      </c>
      <c r="AG32" s="316">
        <f t="shared" si="29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5.6999999999999975</v>
      </c>
      <c r="AV32" s="313">
        <f t="shared" si="19"/>
        <v>2.8499999999999988</v>
      </c>
      <c r="AW32" s="313">
        <f>IF(D32="V",AW31,(AW31+"07:36"))</f>
        <v>5.6999999999999975</v>
      </c>
      <c r="AX32" s="6" t="str">
        <f t="shared" si="20"/>
        <v>Wo</v>
      </c>
      <c r="AY32" s="4">
        <f>IF((R40="O3ir")*AND(R41&lt;&gt;""),VLOOKUP(R41,Barema!$AU$39:$AV$65,2),)</f>
        <v>0</v>
      </c>
      <c r="AZ32" s="4" t="s">
        <v>31</v>
      </c>
      <c r="BA32" s="102"/>
    </row>
    <row r="33" spans="1:54" s="378" customFormat="1" x14ac:dyDescent="0.2">
      <c r="A33" s="309"/>
      <c r="B33" s="6" t="s">
        <v>167</v>
      </c>
      <c r="C33" s="311" t="s">
        <v>472</v>
      </c>
      <c r="D33" s="312"/>
      <c r="E33" s="312"/>
      <c r="F33" s="274"/>
      <c r="G33" s="274"/>
      <c r="H33" s="310"/>
      <c r="I33" s="310"/>
      <c r="J33" s="336"/>
      <c r="K33" s="336"/>
      <c r="L33" s="313">
        <f>(G33-F33)+(I33-H33)+(K33-J33)+AI33+AN33</f>
        <v>0</v>
      </c>
      <c r="M33" s="313">
        <f>M32+L33</f>
        <v>0.31666666666666665</v>
      </c>
      <c r="N33" s="338">
        <f>IF(Jul!$H$48="x",AU33+Jul!$N$37,AU33)</f>
        <v>13.299999999999994</v>
      </c>
      <c r="O33" s="418" t="str">
        <f t="shared" si="21"/>
        <v>-</v>
      </c>
      <c r="P33" s="339">
        <f t="shared" si="22"/>
        <v>12.983333333333327</v>
      </c>
      <c r="Q33" s="414">
        <f t="shared" si="0"/>
        <v>0</v>
      </c>
      <c r="R33" s="414">
        <f t="shared" si="1"/>
        <v>0</v>
      </c>
      <c r="S33" s="414">
        <f t="shared" si="2"/>
        <v>0</v>
      </c>
      <c r="T33" s="414">
        <f t="shared" si="3"/>
        <v>0</v>
      </c>
      <c r="U33" s="338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6.0166666666666639</v>
      </c>
      <c r="AV33" s="313">
        <f t="shared" si="19"/>
        <v>3.008333333333332</v>
      </c>
      <c r="AW33" s="313">
        <f>IF(D33="V",AW32,(AW32+"07:36"))</f>
        <v>6.0166666666666639</v>
      </c>
      <c r="AX33" s="6" t="str">
        <f t="shared" si="20"/>
        <v>Do</v>
      </c>
      <c r="AY33" s="4">
        <f>IF((R40="O4")*AND(R41&lt;&gt;""),VLOOKUP(R41,Barema!$Z$39:$AA$65,2),)</f>
        <v>0</v>
      </c>
      <c r="AZ33" s="4" t="s">
        <v>24</v>
      </c>
      <c r="BA33" s="102"/>
    </row>
    <row r="34" spans="1:54" s="378" customFormat="1" x14ac:dyDescent="0.2">
      <c r="A34" s="309"/>
      <c r="B34" s="6" t="s">
        <v>169</v>
      </c>
      <c r="C34" s="311" t="s">
        <v>473</v>
      </c>
      <c r="D34" s="312"/>
      <c r="E34" s="312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13">
        <f t="shared" si="25"/>
        <v>0.31666666666666665</v>
      </c>
      <c r="N34" s="338">
        <f>IF(Jul!$H$48="x",AU34+Jul!$N$37,AU34)</f>
        <v>13.61666666666666</v>
      </c>
      <c r="O34" s="418" t="str">
        <f t="shared" si="21"/>
        <v>-</v>
      </c>
      <c r="P34" s="339">
        <f t="shared" si="22"/>
        <v>13.299999999999994</v>
      </c>
      <c r="Q34" s="414">
        <f t="shared" si="0"/>
        <v>0</v>
      </c>
      <c r="R34" s="414">
        <f t="shared" si="1"/>
        <v>0</v>
      </c>
      <c r="S34" s="414">
        <f t="shared" si="2"/>
        <v>0</v>
      </c>
      <c r="T34" s="414">
        <f t="shared" si="3"/>
        <v>0</v>
      </c>
      <c r="U34" s="338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6"/>
        <v>0</v>
      </c>
      <c r="AD34" s="315">
        <f t="shared" si="6"/>
        <v>0</v>
      </c>
      <c r="AE34" s="316">
        <f t="shared" si="27"/>
        <v>0</v>
      </c>
      <c r="AF34" s="315">
        <f t="shared" si="28"/>
        <v>0</v>
      </c>
      <c r="AG34" s="316">
        <f t="shared" si="29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Vr</v>
      </c>
      <c r="AY34" s="4">
        <f>IF((R40="O4bis")*AND(R41&lt;&gt;""),VLOOKUP(R41,Barema!$BG$39:$BH$65,2),)</f>
        <v>0</v>
      </c>
      <c r="AZ34" s="4" t="s">
        <v>35</v>
      </c>
      <c r="BA34" s="102"/>
    </row>
    <row r="35" spans="1:54" s="376" customFormat="1" x14ac:dyDescent="0.2">
      <c r="A35" s="374"/>
      <c r="B35" s="362" t="s">
        <v>171</v>
      </c>
      <c r="C35" s="363" t="s">
        <v>474</v>
      </c>
      <c r="D35" s="364"/>
      <c r="E35" s="364"/>
      <c r="F35" s="365"/>
      <c r="G35" s="365"/>
      <c r="H35" s="365"/>
      <c r="I35" s="365"/>
      <c r="J35" s="375"/>
      <c r="K35" s="375"/>
      <c r="L35" s="366">
        <f>(G35-F35)+(I35-H35)+(K35-J35)</f>
        <v>0</v>
      </c>
      <c r="M35" s="366">
        <f t="shared" si="25"/>
        <v>0.31666666666666665</v>
      </c>
      <c r="N35" s="382">
        <f>IF(Jul!$H$48="x",AU35+Jul!$N$37,AU35)</f>
        <v>13.61666666666666</v>
      </c>
      <c r="O35" s="404" t="str">
        <f t="shared" si="21"/>
        <v>-</v>
      </c>
      <c r="P35" s="383">
        <f t="shared" si="22"/>
        <v>13.299999999999994</v>
      </c>
      <c r="Q35" s="403">
        <f t="shared" si="0"/>
        <v>0</v>
      </c>
      <c r="R35" s="403">
        <f t="shared" si="1"/>
        <v>0</v>
      </c>
      <c r="S35" s="403">
        <f t="shared" si="2"/>
        <v>0</v>
      </c>
      <c r="T35" s="403">
        <f t="shared" si="3"/>
        <v>0</v>
      </c>
      <c r="U35" s="382">
        <f>L35</f>
        <v>0</v>
      </c>
      <c r="V35" s="366">
        <f t="shared" si="23"/>
        <v>0</v>
      </c>
      <c r="W35" s="366">
        <f t="shared" si="24"/>
        <v>0</v>
      </c>
      <c r="X35" s="364"/>
      <c r="Y35" s="365"/>
      <c r="Z35" s="365"/>
      <c r="AA35" s="368">
        <f t="shared" si="4"/>
        <v>0</v>
      </c>
      <c r="AB35" s="368">
        <f t="shared" si="5"/>
        <v>0</v>
      </c>
      <c r="AC35" s="368">
        <f t="shared" si="26"/>
        <v>0</v>
      </c>
      <c r="AD35" s="368">
        <f t="shared" si="6"/>
        <v>0</v>
      </c>
      <c r="AE35" s="369">
        <f t="shared" si="27"/>
        <v>0</v>
      </c>
      <c r="AF35" s="368">
        <f t="shared" si="28"/>
        <v>0</v>
      </c>
      <c r="AG35" s="369">
        <f t="shared" si="29"/>
        <v>0</v>
      </c>
      <c r="AH35" s="368">
        <f t="shared" si="7"/>
        <v>0</v>
      </c>
      <c r="AI35" s="370">
        <f>IF((D35&lt;&gt;""),VLOOKUP(D35,Data!$E$36:$H$53,4),)</f>
        <v>0</v>
      </c>
      <c r="AJ35" s="370">
        <f t="shared" si="8"/>
        <v>0</v>
      </c>
      <c r="AK35" s="371">
        <f t="shared" si="9"/>
        <v>0</v>
      </c>
      <c r="AL35" s="371">
        <f t="shared" si="10"/>
        <v>0</v>
      </c>
      <c r="AM35" s="372">
        <f t="shared" si="11"/>
        <v>0</v>
      </c>
      <c r="AN35" s="370">
        <f t="shared" si="12"/>
        <v>0</v>
      </c>
      <c r="AO35" s="373">
        <f t="shared" si="13"/>
        <v>0</v>
      </c>
      <c r="AP35" s="373">
        <f t="shared" si="14"/>
        <v>0</v>
      </c>
      <c r="AQ35" s="373">
        <f t="shared" si="15"/>
        <v>0</v>
      </c>
      <c r="AR35" s="373">
        <f t="shared" si="16"/>
        <v>0</v>
      </c>
      <c r="AS35" s="371">
        <f t="shared" si="17"/>
        <v>0</v>
      </c>
      <c r="AT35" s="371">
        <f t="shared" si="18"/>
        <v>0</v>
      </c>
      <c r="AU35" s="366">
        <f>IF(Data!$H$8="x",AV35,AW35)</f>
        <v>6.3333333333333304</v>
      </c>
      <c r="AV35" s="366">
        <f t="shared" si="19"/>
        <v>3.1666666666666652</v>
      </c>
      <c r="AW35" s="366">
        <f>AW34</f>
        <v>6.3333333333333304</v>
      </c>
      <c r="AX35" s="362" t="str">
        <f t="shared" si="20"/>
        <v>Za</v>
      </c>
      <c r="AY35" s="371">
        <f>IF((R40="O4bis-ir")*AND(R41&lt;&gt;""),VLOOKUP(R41,Barema!$AO$39:$AP$65,2),)</f>
        <v>0</v>
      </c>
      <c r="AZ35" s="371" t="s">
        <v>29</v>
      </c>
      <c r="BA35" s="439"/>
    </row>
    <row r="36" spans="1:54" s="376" customFormat="1" x14ac:dyDescent="0.2">
      <c r="A36" s="374"/>
      <c r="B36" s="362" t="s">
        <v>173</v>
      </c>
      <c r="C36" s="363" t="s">
        <v>475</v>
      </c>
      <c r="D36" s="364"/>
      <c r="E36" s="403"/>
      <c r="F36" s="365"/>
      <c r="G36" s="365"/>
      <c r="H36" s="365"/>
      <c r="I36" s="365"/>
      <c r="J36" s="375"/>
      <c r="K36" s="375"/>
      <c r="L36" s="366">
        <f>(G36-F36)+(I36-H36)+(K36-J36)</f>
        <v>0</v>
      </c>
      <c r="M36" s="366">
        <f t="shared" si="25"/>
        <v>0.31666666666666665</v>
      </c>
      <c r="N36" s="382">
        <f>IF(Jul!$H$48="x",AU36+Jul!$N$37,AU36)</f>
        <v>13.61666666666666</v>
      </c>
      <c r="O36" s="404" t="str">
        <f t="shared" si="21"/>
        <v>-</v>
      </c>
      <c r="P36" s="383">
        <f t="shared" si="22"/>
        <v>13.299999999999994</v>
      </c>
      <c r="Q36" s="403">
        <f t="shared" si="0"/>
        <v>0</v>
      </c>
      <c r="R36" s="403">
        <f t="shared" si="1"/>
        <v>0</v>
      </c>
      <c r="S36" s="403">
        <f t="shared" si="2"/>
        <v>0</v>
      </c>
      <c r="T36" s="403">
        <f t="shared" si="3"/>
        <v>0</v>
      </c>
      <c r="U36" s="382">
        <f>L36</f>
        <v>0</v>
      </c>
      <c r="V36" s="366">
        <f t="shared" si="23"/>
        <v>0</v>
      </c>
      <c r="W36" s="366">
        <f t="shared" si="24"/>
        <v>0</v>
      </c>
      <c r="X36" s="364"/>
      <c r="Y36" s="365"/>
      <c r="Z36" s="365"/>
      <c r="AA36" s="368">
        <f t="shared" si="4"/>
        <v>0</v>
      </c>
      <c r="AB36" s="368">
        <f t="shared" si="5"/>
        <v>0</v>
      </c>
      <c r="AC36" s="368">
        <f t="shared" si="26"/>
        <v>0</v>
      </c>
      <c r="AD36" s="368">
        <f t="shared" si="6"/>
        <v>0</v>
      </c>
      <c r="AE36" s="369">
        <f t="shared" si="27"/>
        <v>0</v>
      </c>
      <c r="AF36" s="368">
        <f t="shared" si="28"/>
        <v>0</v>
      </c>
      <c r="AG36" s="369">
        <f t="shared" si="29"/>
        <v>0</v>
      </c>
      <c r="AH36" s="368">
        <f t="shared" si="7"/>
        <v>0</v>
      </c>
      <c r="AI36" s="370">
        <f>IF((D36&lt;&gt;""),VLOOKUP(D36,Data!$E$36:$H$53,4),)</f>
        <v>0</v>
      </c>
      <c r="AJ36" s="370">
        <f t="shared" si="8"/>
        <v>0</v>
      </c>
      <c r="AK36" s="371">
        <f t="shared" si="9"/>
        <v>0</v>
      </c>
      <c r="AL36" s="371">
        <f t="shared" si="10"/>
        <v>0</v>
      </c>
      <c r="AM36" s="372">
        <f t="shared" si="11"/>
        <v>0</v>
      </c>
      <c r="AN36" s="370">
        <f t="shared" si="12"/>
        <v>0</v>
      </c>
      <c r="AO36" s="373">
        <f t="shared" si="13"/>
        <v>0</v>
      </c>
      <c r="AP36" s="373">
        <f t="shared" si="14"/>
        <v>0</v>
      </c>
      <c r="AQ36" s="373">
        <f t="shared" si="15"/>
        <v>0</v>
      </c>
      <c r="AR36" s="373">
        <f t="shared" si="16"/>
        <v>0</v>
      </c>
      <c r="AS36" s="371">
        <f t="shared" si="17"/>
        <v>0</v>
      </c>
      <c r="AT36" s="371">
        <f t="shared" si="18"/>
        <v>0</v>
      </c>
      <c r="AU36" s="366">
        <f>IF(Data!$H$8="x",AV36,AW36)</f>
        <v>6.3333333333333304</v>
      </c>
      <c r="AV36" s="366">
        <f t="shared" si="19"/>
        <v>3.1666666666666652</v>
      </c>
      <c r="AW36" s="366">
        <f>AW35</f>
        <v>6.3333333333333304</v>
      </c>
      <c r="AX36" s="362" t="str">
        <f t="shared" si="20"/>
        <v>Zo</v>
      </c>
      <c r="AY36" s="371">
        <f>IF((R40="O4ir")*AND(R41&lt;&gt;""),VLOOKUP(R41,Barema!$AX$39:$AY$65,2),)</f>
        <v>0</v>
      </c>
      <c r="AZ36" s="371" t="s">
        <v>32</v>
      </c>
      <c r="BA36" s="439"/>
    </row>
    <row r="37" spans="1:54" s="378" customFormat="1" x14ac:dyDescent="0.2">
      <c r="A37" s="309"/>
      <c r="B37" s="6" t="s">
        <v>175</v>
      </c>
      <c r="C37" s="311" t="s">
        <v>476</v>
      </c>
      <c r="D37" s="312"/>
      <c r="E37" s="312"/>
      <c r="F37" s="274"/>
      <c r="G37" s="274"/>
      <c r="H37" s="310"/>
      <c r="I37" s="310"/>
      <c r="J37" s="419"/>
      <c r="K37" s="419"/>
      <c r="L37" s="313">
        <f>(G37-F37)+(I37-H37)+(K37-J37)+AI37+AN37</f>
        <v>0</v>
      </c>
      <c r="M37" s="313">
        <f t="shared" si="25"/>
        <v>0.31666666666666665</v>
      </c>
      <c r="N37" s="338">
        <f>IF(Jul!$H$48="x",AU37+Jul!$N$37,AU37)</f>
        <v>13.933333333333326</v>
      </c>
      <c r="O37" s="418" t="str">
        <f t="shared" si="21"/>
        <v>-</v>
      </c>
      <c r="P37" s="339">
        <f t="shared" si="22"/>
        <v>13.61666666666666</v>
      </c>
      <c r="Q37" s="414">
        <f t="shared" si="0"/>
        <v>0</v>
      </c>
      <c r="R37" s="414">
        <f t="shared" si="1"/>
        <v>0</v>
      </c>
      <c r="S37" s="414">
        <f t="shared" si="2"/>
        <v>0</v>
      </c>
      <c r="T37" s="414">
        <f t="shared" si="3"/>
        <v>0</v>
      </c>
      <c r="U37" s="338">
        <f>IF(D37="F",L37,0)</f>
        <v>0</v>
      </c>
      <c r="V37" s="313">
        <f t="shared" si="23"/>
        <v>0</v>
      </c>
      <c r="W37" s="313">
        <f t="shared" si="24"/>
        <v>0</v>
      </c>
      <c r="X37" s="312"/>
      <c r="Y37" s="310"/>
      <c r="Z37" s="310"/>
      <c r="AA37" s="315">
        <f t="shared" si="4"/>
        <v>0</v>
      </c>
      <c r="AB37" s="315">
        <f t="shared" si="5"/>
        <v>0</v>
      </c>
      <c r="AC37" s="315">
        <f t="shared" si="26"/>
        <v>0</v>
      </c>
      <c r="AD37" s="315">
        <f t="shared" si="6"/>
        <v>0</v>
      </c>
      <c r="AE37" s="316">
        <f t="shared" si="27"/>
        <v>0</v>
      </c>
      <c r="AF37" s="315">
        <f t="shared" si="28"/>
        <v>0</v>
      </c>
      <c r="AG37" s="316">
        <f t="shared" si="29"/>
        <v>0</v>
      </c>
      <c r="AH37" s="315">
        <f t="shared" si="7"/>
        <v>0</v>
      </c>
      <c r="AI37" s="123">
        <f>IF((D37&lt;&gt;""),VLOOKUP(D37,Data!$E$36:$H$53,4),)</f>
        <v>0</v>
      </c>
      <c r="AJ37" s="123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11"/>
        <v>0</v>
      </c>
      <c r="AN37" s="123">
        <f t="shared" si="12"/>
        <v>0</v>
      </c>
      <c r="AO37" s="317">
        <f t="shared" si="13"/>
        <v>0</v>
      </c>
      <c r="AP37" s="317">
        <f t="shared" si="14"/>
        <v>0</v>
      </c>
      <c r="AQ37" s="317">
        <f t="shared" si="15"/>
        <v>0</v>
      </c>
      <c r="AR37" s="317">
        <f t="shared" si="16"/>
        <v>0</v>
      </c>
      <c r="AS37" s="4">
        <f t="shared" si="17"/>
        <v>0</v>
      </c>
      <c r="AT37" s="4">
        <f t="shared" si="18"/>
        <v>0</v>
      </c>
      <c r="AU37" s="313">
        <f>IF(Data!$H$8="x",AV37,AW37)</f>
        <v>6.6499999999999968</v>
      </c>
      <c r="AV37" s="313">
        <f t="shared" si="19"/>
        <v>3.3249999999999984</v>
      </c>
      <c r="AW37" s="313">
        <f>IF(D37="V",AW36,(AW36+"07:36"))</f>
        <v>6.6499999999999968</v>
      </c>
      <c r="AX37" s="6" t="str">
        <f t="shared" si="20"/>
        <v>Ma</v>
      </c>
      <c r="AY37" s="4">
        <f>IF((R40="O5")*AND(R41&lt;&gt;""),VLOOKUP(R41,Barema!$AC$39:$AD$65,2),)</f>
        <v>0</v>
      </c>
      <c r="AZ37" s="4" t="s">
        <v>25</v>
      </c>
      <c r="BA37" s="102"/>
    </row>
    <row r="38" spans="1:54" x14ac:dyDescent="0.2">
      <c r="AB38" s="123">
        <f t="shared" ref="AB38:AI38" si="30">SUM(AA7:AA37)</f>
        <v>0</v>
      </c>
      <c r="AC38" s="123">
        <f t="shared" si="30"/>
        <v>0</v>
      </c>
      <c r="AD38" s="123">
        <f t="shared" si="30"/>
        <v>0</v>
      </c>
      <c r="AE38" s="123">
        <f t="shared" si="30"/>
        <v>0</v>
      </c>
      <c r="AF38" s="123">
        <f t="shared" si="30"/>
        <v>0</v>
      </c>
      <c r="AG38" s="123">
        <f t="shared" si="30"/>
        <v>0</v>
      </c>
      <c r="AH38" s="123">
        <f t="shared" si="30"/>
        <v>0</v>
      </c>
      <c r="AI38" s="123">
        <f t="shared" si="30"/>
        <v>0</v>
      </c>
      <c r="AK38" s="123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IF((R40="O5ir")*AND(R41&lt;&gt;""),VLOOKUP(R41,Barema!$BA$39:$BB$65,2),)</f>
        <v>0</v>
      </c>
      <c r="AZ38" s="4" t="s">
        <v>33</v>
      </c>
      <c r="BB38" s="4"/>
    </row>
    <row r="39" spans="1:54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31">IF((MINUTE(AB38)&gt;=30),(AB38+0.041666667),AB38)</f>
        <v>0</v>
      </c>
      <c r="AC39" s="123">
        <f t="shared" si="31"/>
        <v>0</v>
      </c>
      <c r="AD39" s="123">
        <f t="shared" si="31"/>
        <v>0</v>
      </c>
      <c r="AE39" s="123">
        <f t="shared" si="31"/>
        <v>0</v>
      </c>
      <c r="AF39" s="123">
        <f t="shared" si="31"/>
        <v>0</v>
      </c>
      <c r="AG39" s="123">
        <f t="shared" si="31"/>
        <v>0</v>
      </c>
      <c r="AH39" s="123">
        <f t="shared" si="31"/>
        <v>0</v>
      </c>
      <c r="AI39" s="123">
        <f t="shared" si="31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IF((R40="O6")*AND(R41&lt;&gt;""),VLOOKUP(R41,Barema!$AF$39:$AG$65,2),)</f>
        <v>0</v>
      </c>
      <c r="AZ39" s="4" t="s">
        <v>26</v>
      </c>
      <c r="BB39" s="4"/>
    </row>
    <row r="40" spans="1:54" x14ac:dyDescent="0.2">
      <c r="C40" s="42" t="s">
        <v>207</v>
      </c>
      <c r="D40" s="43"/>
      <c r="E40" s="43"/>
      <c r="F40" s="43"/>
      <c r="G40" s="44"/>
      <c r="H40" s="28">
        <f>Jul!$H$45</f>
        <v>36</v>
      </c>
      <c r="J40" s="9" t="s">
        <v>477</v>
      </c>
      <c r="K40" s="10"/>
      <c r="L40" s="11"/>
      <c r="M40" s="10"/>
      <c r="N40" s="18"/>
      <c r="O40" s="10"/>
      <c r="P40" s="11"/>
      <c r="Q40" s="11"/>
      <c r="R40" s="441" t="s">
        <v>4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2">IF(MINUTE(AB39)&gt;0,FLOOR(AB39,0.041666667),AB39)</f>
        <v>0</v>
      </c>
      <c r="AC40" s="123">
        <f t="shared" si="32"/>
        <v>0</v>
      </c>
      <c r="AD40" s="123">
        <f t="shared" si="32"/>
        <v>0</v>
      </c>
      <c r="AE40" s="123">
        <f t="shared" si="32"/>
        <v>0</v>
      </c>
      <c r="AF40" s="123">
        <f t="shared" si="32"/>
        <v>0</v>
      </c>
      <c r="AG40" s="123">
        <f t="shared" si="32"/>
        <v>0</v>
      </c>
      <c r="AH40" s="123">
        <f t="shared" si="32"/>
        <v>0</v>
      </c>
      <c r="AI40" s="123">
        <f t="shared" si="32"/>
        <v>0</v>
      </c>
      <c r="AK40" s="140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IF((R40="O6ir")*AND(R41&lt;&gt;""),VLOOKUP(R41,Barema!$BD$39:$BE$65,2),)</f>
        <v>0</v>
      </c>
      <c r="AZ40" s="4" t="s">
        <v>34</v>
      </c>
      <c r="BB40" s="4"/>
    </row>
    <row r="41" spans="1:54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478</v>
      </c>
      <c r="K41" s="13"/>
      <c r="L41" s="14"/>
      <c r="M41" s="13"/>
      <c r="N41" s="13"/>
      <c r="O41" s="13"/>
      <c r="P41" s="14"/>
      <c r="Q41" s="14"/>
      <c r="R41" s="443">
        <v>14</v>
      </c>
      <c r="S41" s="444"/>
      <c r="T41" s="328">
        <f>AY55</f>
        <v>22504.84</v>
      </c>
      <c r="U41" s="330"/>
      <c r="V41" s="331"/>
      <c r="W41" s="318"/>
      <c r="X41" s="318"/>
      <c r="Z41" s="1"/>
      <c r="AA41" s="1"/>
      <c r="AF41" s="88"/>
      <c r="AG41" s="18"/>
      <c r="AH41" s="10" t="s">
        <v>217</v>
      </c>
      <c r="AI41" s="10"/>
      <c r="AJ41" s="89"/>
      <c r="AK41" s="10" t="s">
        <v>219</v>
      </c>
      <c r="AL41" s="10"/>
      <c r="AM41" s="18"/>
      <c r="AN41" s="89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2"/>
    </row>
    <row r="42" spans="1:54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1"/>
      <c r="R42" s="1"/>
      <c r="S42" s="15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15"/>
      <c r="AG42" s="4"/>
      <c r="AH42" s="4">
        <f>X41*1.2434/1850</f>
        <v>0</v>
      </c>
      <c r="AI42" s="4"/>
      <c r="AJ42" s="33"/>
      <c r="AK42" s="4">
        <f>T41*AA40/1850</f>
        <v>25.817309152432433</v>
      </c>
      <c r="AL42" s="4" t="s">
        <v>218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54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K43" s="4"/>
      <c r="L43" s="4"/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D43" s="4">
        <f>M44*78</f>
        <v>0</v>
      </c>
      <c r="AF43" s="198"/>
      <c r="AG43" s="62" t="s">
        <v>122</v>
      </c>
      <c r="AH43" s="4">
        <f>AH42*0.9645*AK49/100*1.45</f>
        <v>0</v>
      </c>
      <c r="AI43" s="4"/>
      <c r="AJ43" s="33"/>
      <c r="AK43" s="131">
        <f>(AK42*0.9645)*AK49/100</f>
        <v>12.081865577533229</v>
      </c>
      <c r="AL43" s="17" t="s">
        <v>223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IF((R40="HAU4")*AND(R41&lt;&gt;""),VLOOKUP(R41,Barema!$BJ$39:$BK$65,2),)</f>
        <v>0</v>
      </c>
      <c r="AZ43" s="17" t="s">
        <v>705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228</v>
      </c>
      <c r="K44" s="4"/>
      <c r="L44" s="4"/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51.48</v>
      </c>
      <c r="Z44" s="138"/>
      <c r="AB44" s="4">
        <f>COUNTIF(AK7:AK37,"2")</f>
        <v>0</v>
      </c>
      <c r="AD44" s="4" t="e">
        <f>M46*23</f>
        <v>#VALUE!</v>
      </c>
      <c r="AF44" s="38"/>
      <c r="AG44" s="17" t="s">
        <v>225</v>
      </c>
      <c r="AH44" s="17">
        <f>(W41*1.2434/1850)*0.009645*AK49</f>
        <v>0</v>
      </c>
      <c r="AI44" s="17"/>
      <c r="AJ44" s="40"/>
      <c r="AK44" s="4">
        <v>1.24</v>
      </c>
      <c r="AL44" s="4" t="s">
        <v>226</v>
      </c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54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4"/>
      <c r="M45" s="65" t="str">
        <f>IF(Jan!AH49=2,COUNTIF(Q7:Q37,"1"),"")</f>
        <v/>
      </c>
      <c r="N45" s="4"/>
      <c r="O45" s="4"/>
      <c r="P45" s="4"/>
      <c r="Q45" s="4"/>
      <c r="R45" s="1"/>
      <c r="S45" s="15"/>
      <c r="T45" s="120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Y45" s="17">
        <f>IF((R40="BAGP2")*AND(R41&lt;&gt;""),VLOOKUP(R41,Barema!$T$5:$U$31,2),)</f>
        <v>0</v>
      </c>
      <c r="AZ45" s="4" t="s">
        <v>711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"/>
      <c r="S46" s="15"/>
      <c r="T46" s="54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 t="s">
        <v>348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162</v>
      </c>
      <c r="AY46" s="17">
        <f>IF((R40="BAGP3")*AND(R41&lt;&gt;""),VLOOKUP(R41,Barema!$W$5:$X$31,2),)</f>
        <v>0</v>
      </c>
      <c r="AZ46" s="4" t="s">
        <v>712</v>
      </c>
      <c r="BB46" s="2"/>
    </row>
    <row r="47" spans="1:54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K47" s="4"/>
      <c r="L47" s="4"/>
      <c r="M47" s="65" t="str">
        <f>IF(Jan!AH49=2,COUNTIF(S7:S37,"1"),"")</f>
        <v/>
      </c>
      <c r="N47" s="4"/>
      <c r="O47" s="4"/>
      <c r="P47" s="4"/>
      <c r="Q47" s="4"/>
      <c r="R47" s="19"/>
      <c r="S47" s="4"/>
      <c r="T47" s="80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233</v>
      </c>
      <c r="AY47" s="17">
        <f>IF((R40="BAGP4")*AND(R41&lt;&gt;""),VLOOKUP(R41,Barema!$BJ$39:$BK$65,2),)</f>
        <v>0</v>
      </c>
      <c r="AZ47" s="4" t="s">
        <v>713</v>
      </c>
      <c r="BB47" s="2"/>
    </row>
    <row r="48" spans="1:54" x14ac:dyDescent="0.2">
      <c r="C48" s="24" t="s">
        <v>234</v>
      </c>
      <c r="G48" s="92" t="s">
        <v>690</v>
      </c>
      <c r="H48" s="92"/>
      <c r="J48" s="15" t="str">
        <f>IF(Jan!AH49=2,"Morgenmaal","")</f>
        <v/>
      </c>
      <c r="K48" s="4"/>
      <c r="L48" s="4"/>
      <c r="M48" s="65" t="str">
        <f>IF(Jan!AH49=2,COUNTIF(T7:T37,"1"),"")</f>
        <v/>
      </c>
      <c r="N48" s="4"/>
      <c r="O48" s="4"/>
      <c r="P48" s="4"/>
      <c r="Q48" s="4"/>
      <c r="R48" s="19"/>
      <c r="S48" s="4"/>
      <c r="T48" s="80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VLOOKUP(AS48,Data!$F$80:$H$91,3)</f>
        <v>51.48</v>
      </c>
      <c r="AL48" s="4" t="s">
        <v>235</v>
      </c>
      <c r="AP48" s="256">
        <f>T41*Z40</f>
        <v>47762.021932000003</v>
      </c>
      <c r="AQ48" s="2">
        <f>AP48*0.075</f>
        <v>3582.1516449000001</v>
      </c>
      <c r="AR48" s="2">
        <f>AP48*0.0355</f>
        <v>1695.551778586</v>
      </c>
      <c r="AS48" s="142">
        <f>AP48-AQ48-AR48</f>
        <v>42484.318508514007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4"/>
      <c r="L49" s="4"/>
      <c r="M49" s="141">
        <f>IF(AND(O37="+",G48="x",AB47&gt;=0),AB51,0)</f>
        <v>0</v>
      </c>
      <c r="N49" s="4" t="s">
        <v>214</v>
      </c>
      <c r="O49" s="54"/>
      <c r="P49" s="1"/>
      <c r="Q49" s="1"/>
      <c r="R49" s="1"/>
      <c r="S49" s="15"/>
      <c r="T49" s="54"/>
      <c r="U49" s="325">
        <f>(M49*AK43/0.041666667)</f>
        <v>0</v>
      </c>
      <c r="V49" s="19" t="s">
        <v>215</v>
      </c>
      <c r="W49" s="106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F50" s="4"/>
      <c r="G50" s="4"/>
      <c r="J50" s="15" t="s">
        <v>240</v>
      </c>
      <c r="K50" s="4"/>
      <c r="L50" s="4"/>
      <c r="M50" s="118">
        <f>AM38</f>
        <v>0</v>
      </c>
      <c r="N50" s="4" t="s">
        <v>241</v>
      </c>
      <c r="O50" s="80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B50" s="4"/>
      <c r="AG50" s="4"/>
      <c r="AH50" s="4"/>
      <c r="AI50" s="4"/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F51" s="4"/>
      <c r="G51" s="133">
        <v>0</v>
      </c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F51" s="4"/>
      <c r="AG51" s="4" t="s">
        <v>153</v>
      </c>
      <c r="AH51" s="4">
        <f>AH42*0.00325*0.9645*AK49</f>
        <v>0</v>
      </c>
      <c r="AI51" s="4"/>
      <c r="AK51" s="62">
        <f>AK43/100*20</f>
        <v>2.4163731155066461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AK43/100*35</f>
        <v>4.2286529521366303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78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0.50341106573055117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F55" s="4"/>
      <c r="G55" s="121">
        <v>0</v>
      </c>
      <c r="H55" s="4"/>
      <c r="L55" s="70" t="s">
        <v>130</v>
      </c>
      <c r="M55" s="73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0.80545770516888193</v>
      </c>
      <c r="AL55" s="17" t="s">
        <v>251</v>
      </c>
      <c r="AM55" s="17"/>
      <c r="AN55" s="17"/>
      <c r="AO55" s="17"/>
      <c r="AP55" s="83"/>
      <c r="AY55" s="4">
        <f>SUM(AY7:AY53)</f>
        <v>22504.84</v>
      </c>
      <c r="BB55" s="2"/>
    </row>
    <row r="56" spans="3:54" x14ac:dyDescent="0.2">
      <c r="C56" s="166" t="s">
        <v>243</v>
      </c>
      <c r="E56" s="4"/>
      <c r="F56" s="1"/>
      <c r="G56" s="4"/>
      <c r="H56" s="4"/>
      <c r="W56" s="106"/>
      <c r="X56" s="1"/>
      <c r="BB56" s="2"/>
    </row>
    <row r="60" spans="3:54" x14ac:dyDescent="0.2">
      <c r="J60" s="4"/>
      <c r="K60" s="4"/>
      <c r="L60" s="70"/>
      <c r="M60" s="70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70"/>
      <c r="M61" s="70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hm6KZy+gF7+heA2eUTL+EKO94YQdtP4b7DyyExxhD3IvVsQ0ohOPkjkZucXfWCtDs+E6v/jo56MRUIbltKbxAA==" saltValue="JHCqTsOIwIkseVU+0CawZA==" spinCount="100000" sheet="1" objects="1" scenarios="1"/>
  <mergeCells count="2">
    <mergeCell ref="R40:S40"/>
    <mergeCell ref="R41:S41"/>
  </mergeCells>
  <phoneticPr fontId="0" type="noConversion"/>
  <conditionalFormatting sqref="F7:G7">
    <cfRule type="timePeriod" dxfId="25" priority="5" timePeriod="lastWeek">
      <formula>AND(TODAY()-ROUNDDOWN(F7,0)&gt;=(WEEKDAY(TODAY())),TODAY()-ROUNDDOWN(F7,0)&lt;(WEEKDAY(TODAY())+7))</formula>
    </cfRule>
  </conditionalFormatting>
  <conditionalFormatting sqref="F10:G14">
    <cfRule type="timePeriod" dxfId="24" priority="4" timePeriod="lastWeek">
      <formula>AND(TODAY()-ROUNDDOWN(F10,0)&gt;=(WEEKDAY(TODAY())),TODAY()-ROUNDDOWN(F10,0)&lt;(WEEKDAY(TODAY())+7))</formula>
    </cfRule>
  </conditionalFormatting>
  <conditionalFormatting sqref="F17:G21">
    <cfRule type="timePeriod" dxfId="23" priority="3" timePeriod="lastWeek">
      <formula>AND(TODAY()-ROUNDDOWN(F17,0)&gt;=(WEEKDAY(TODAY())),TODAY()-ROUNDDOWN(F17,0)&lt;(WEEKDAY(TODAY())+7))</formula>
    </cfRule>
  </conditionalFormatting>
  <conditionalFormatting sqref="F24:G28">
    <cfRule type="timePeriod" dxfId="22" priority="2" timePeriod="lastWeek">
      <formula>AND(TODAY()-ROUNDDOWN(F24,0)&gt;=(WEEKDAY(TODAY())),TODAY()-ROUNDDOWN(F24,0)&lt;(WEEKDAY(TODAY())+7))</formula>
    </cfRule>
  </conditionalFormatting>
  <conditionalFormatting sqref="F31:G35">
    <cfRule type="timePeriod" dxfId="21" priority="1" timePeriod="lastWeek">
      <formula>AND(TODAY()-ROUNDDOWN(F31,0)&gt;=(WEEKDAY(TODAY())),TODAY()-ROUNDDOWN(F31,0)&lt;(WEEKDAY(TODAY())+7))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11"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855468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2" style="2" hidden="1" customWidth="1"/>
    <col min="44" max="44" width="11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" hidden="1" customWidth="1"/>
    <col min="55" max="16383" width="9.140625" hidden="1"/>
    <col min="16384" max="16384" width="9.42578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K4" s="4"/>
      <c r="M4" s="259">
        <f>Aug!$G$55</f>
        <v>0</v>
      </c>
      <c r="P4" s="4" t="s">
        <v>111</v>
      </c>
      <c r="Q4" s="4"/>
      <c r="R4" s="4"/>
      <c r="S4" s="4"/>
      <c r="T4" s="4"/>
      <c r="U4" s="122">
        <f>IF(Aug!$H$48="x",Aug!$U$4,Aug!$G$51)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8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8" customFormat="1" x14ac:dyDescent="0.2">
      <c r="A7" s="309"/>
      <c r="B7" s="6" t="s">
        <v>177</v>
      </c>
      <c r="C7" s="415" t="s">
        <v>479</v>
      </c>
      <c r="D7" s="414"/>
      <c r="E7" s="414"/>
      <c r="F7" s="274"/>
      <c r="G7" s="274"/>
      <c r="H7" s="310"/>
      <c r="I7" s="310"/>
      <c r="J7" s="336"/>
      <c r="K7" s="336"/>
      <c r="L7" s="313">
        <f>(G7-F7)+(I7-H7)+(K7-J7)+AI7+AN7</f>
        <v>0</v>
      </c>
      <c r="M7" s="313">
        <f>IF(Aug!H48="x",(L7+Aug!M37)+M4,L7+M4)</f>
        <v>0</v>
      </c>
      <c r="N7" s="338">
        <f>IF(Aug!$H$48="x",AU7+Aug!$N$37,AU7)</f>
        <v>0.31666666666666665</v>
      </c>
      <c r="O7" s="337" t="str">
        <f>IF((M7-N7-U$4)&lt;0,"-","+")</f>
        <v>-</v>
      </c>
      <c r="P7" s="339">
        <f>ABS(M7-N7-U$4)</f>
        <v>0.31666666666666665</v>
      </c>
      <c r="Q7" s="312">
        <f t="shared" ref="Q7:Q36" si="0">AP7</f>
        <v>0</v>
      </c>
      <c r="R7" s="312">
        <f t="shared" ref="R7:R36" si="1">AQ7</f>
        <v>0</v>
      </c>
      <c r="S7" s="312">
        <f t="shared" ref="S7:S36" si="2">AR7</f>
        <v>0</v>
      </c>
      <c r="T7" s="312">
        <f t="shared" ref="T7:T36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5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 t="shared" ref="AM7:AM36" si="11">IF(D7="F",1,)+IF((D7="VB")*AND(((G7-F7)+(I7-H7)+(K7-J7))&gt;0),1,0)</f>
        <v>0</v>
      </c>
      <c r="AN7" s="123">
        <f t="shared" ref="AN7:AN36" si="12">IF((D7="VB")*AND(((G7-F7)+(I7-H7)+(K7-J7))=0),"07:36",0)</f>
        <v>0</v>
      </c>
      <c r="AO7" s="317">
        <f t="shared" ref="AO7:AO36" si="13">IF((F7&lt;=$AQ$2)*AND(G7&gt;=$AQ$3),1,)+IF((H7&lt;=$AQ$2)*AND(I7&gt;=$AQ$3),1,)+IF((J7&lt;=$AQ$2)*AND(K7&gt;=$AQ$3),1,)</f>
        <v>0</v>
      </c>
      <c r="AP7" s="317">
        <f t="shared" ref="AP7:AP36" si="14">IF((F7&lt;=$AR$2)*AND(G7&gt;=$AR$3),1,)+IF((H7&lt;=$AR$2)*AND(I7&gt;=$AR$3),1,)+IF((J7&lt;=$AR$2)*AND(K7&gt;=$AR$3),1,)</f>
        <v>0</v>
      </c>
      <c r="AQ7" s="317">
        <f t="shared" ref="AQ7:AQ36" si="15">IF((F7&lt;=$AS$2)*AND(G7&gt;=$AS$3),1,)+IF((H7&lt;=$AS$2)*AND(I7&gt;=$AS$3),1,)+IF((J7&lt;=$AS$2)*AND(K7&gt;=$AS$3),1,)</f>
        <v>0</v>
      </c>
      <c r="AR7" s="317">
        <f t="shared" ref="AR7:AR36" si="16">IF((F7=$AT$2)*AND(G7&gt;=$AT$3),1,)+IF((H7=$AT$2)*AND(I7&gt;=$AT$3),1,)+IF((J7=$AT$2)*AND(K7&gt;=$AT$3),1,)</f>
        <v>0</v>
      </c>
      <c r="AS7" s="4">
        <f t="shared" ref="AS7:AS36" si="17">IF((E7="MO")*OR(E7="mo"),1,0)</f>
        <v>0</v>
      </c>
      <c r="AT7" s="4">
        <f t="shared" ref="AT7:AT36" si="18">IF((E7="M")*OR(E7="m"),1,0)</f>
        <v>0</v>
      </c>
      <c r="AU7" s="313">
        <f>IF(Data!$H$8="x",AV7,AW7)</f>
        <v>0.31666666666666665</v>
      </c>
      <c r="AV7" s="313">
        <f t="shared" ref="AV7:AV36" si="19">AW7/2</f>
        <v>0.15833333333333333</v>
      </c>
      <c r="AW7" s="313">
        <f>IF(D7="V",AX4,(AX4+"07:36"))</f>
        <v>0.31666666666666665</v>
      </c>
      <c r="AX7" s="6" t="str">
        <f t="shared" ref="AX7:AX36" si="20">B7</f>
        <v>Di</v>
      </c>
      <c r="AY7" s="4">
        <f>IF((R39="HAU1")*AND(R40&lt;&gt;""),VLOOKUP(R40,Barema!$Q$5:$R$31,2),)</f>
        <v>0</v>
      </c>
      <c r="AZ7" s="4" t="s">
        <v>0</v>
      </c>
      <c r="BA7" s="102"/>
    </row>
    <row r="8" spans="1:54" s="378" customFormat="1" x14ac:dyDescent="0.2">
      <c r="A8" s="309"/>
      <c r="B8" s="6" t="s">
        <v>179</v>
      </c>
      <c r="C8" s="311" t="s">
        <v>480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13">
        <f>M7+L8</f>
        <v>0</v>
      </c>
      <c r="N8" s="338">
        <f>IF(Aug!$H$48="x",AU8+Aug!$N$37,AU8)</f>
        <v>0.6333333333333333</v>
      </c>
      <c r="O8" s="337" t="str">
        <f t="shared" ref="O8:O36" si="21">IF((M8-N8-U$4)&lt;0,"-","+")</f>
        <v>-</v>
      </c>
      <c r="P8" s="339">
        <f t="shared" ref="P8:P36" si="22">ABS(M8-N8-U$4)</f>
        <v>0.6333333333333333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6" si="23">AE8</f>
        <v>0</v>
      </c>
      <c r="W8" s="313">
        <f t="shared" ref="W8:W36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Wo</v>
      </c>
      <c r="AY8" s="4">
        <f>IF((R39="HAU2")*AND(R40&lt;&gt;""),VLOOKUP(R40,Barema!$T$5:$U$31,2),)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167</v>
      </c>
      <c r="C9" s="311" t="s">
        <v>481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>M8+L9</f>
        <v>0</v>
      </c>
      <c r="N9" s="338">
        <f>IF(Aug!$H$48="x",AU9+Aug!$N$37,AU9)</f>
        <v>0.95</v>
      </c>
      <c r="O9" s="337" t="str">
        <f t="shared" si="21"/>
        <v>-</v>
      </c>
      <c r="P9" s="339">
        <f t="shared" si="22"/>
        <v>0.95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6" si="25">AA9+AB9</f>
        <v>0</v>
      </c>
      <c r="AD9" s="315">
        <f t="shared" si="6"/>
        <v>0</v>
      </c>
      <c r="AE9" s="316">
        <f t="shared" ref="AE9:AE36" si="26">AA9-AD9</f>
        <v>0</v>
      </c>
      <c r="AF9" s="315">
        <f t="shared" ref="AF9:AF36" si="27">AH9+AD9</f>
        <v>0</v>
      </c>
      <c r="AG9" s="316">
        <f t="shared" ref="AG9:AG36" si="28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0.95</v>
      </c>
      <c r="AV9" s="313">
        <f t="shared" si="19"/>
        <v>0.47499999999999998</v>
      </c>
      <c r="AW9" s="313">
        <f>IF(D9="V",AW8,(AW8+"07:36"))</f>
        <v>0.95</v>
      </c>
      <c r="AX9" s="6" t="str">
        <f t="shared" si="20"/>
        <v>Do</v>
      </c>
      <c r="AY9" s="4">
        <f>IF((R39="HAU3")*AND(R40&lt;&gt;""),VLOOKUP(R40,Barema!$W$5:$X$31,2),)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169</v>
      </c>
      <c r="C10" s="311" t="s">
        <v>482</v>
      </c>
      <c r="D10" s="312"/>
      <c r="E10" s="414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 t="shared" ref="M10:M35" si="29">M9+L10</f>
        <v>0</v>
      </c>
      <c r="N10" s="338">
        <f>IF(Aug!$H$48="x",AU10+Aug!$N$37,AU10)</f>
        <v>1.2666666666666666</v>
      </c>
      <c r="O10" s="337" t="str">
        <f t="shared" si="21"/>
        <v>-</v>
      </c>
      <c r="P10" s="339">
        <f t="shared" si="22"/>
        <v>1.2666666666666666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5"/>
        <v>0</v>
      </c>
      <c r="AD10" s="315">
        <f t="shared" si="6"/>
        <v>0</v>
      </c>
      <c r="AE10" s="316">
        <f t="shared" si="26"/>
        <v>0</v>
      </c>
      <c r="AF10" s="315">
        <f t="shared" si="27"/>
        <v>0</v>
      </c>
      <c r="AG10" s="316">
        <f t="shared" si="28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1.2666666666666666</v>
      </c>
      <c r="AV10" s="313">
        <f t="shared" si="19"/>
        <v>0.6333333333333333</v>
      </c>
      <c r="AW10" s="313">
        <f>IF(D10="V",AW9,(AW9+"07:36"))</f>
        <v>1.2666666666666666</v>
      </c>
      <c r="AX10" s="6" t="str">
        <f t="shared" si="20"/>
        <v>Vr</v>
      </c>
      <c r="AY10" s="4">
        <f>IF((R39="B1")*AND(R40&lt;&gt;""),VLOOKUP(R40,Barema!$Z$5:$AA$31,2),)</f>
        <v>0</v>
      </c>
      <c r="AZ10" s="4" t="s">
        <v>3</v>
      </c>
      <c r="BA10" s="102"/>
    </row>
    <row r="11" spans="1:54" s="376" customFormat="1" x14ac:dyDescent="0.2">
      <c r="A11" s="374"/>
      <c r="B11" s="362" t="s">
        <v>171</v>
      </c>
      <c r="C11" s="363" t="s">
        <v>483</v>
      </c>
      <c r="D11" s="364"/>
      <c r="E11" s="403"/>
      <c r="F11" s="365"/>
      <c r="G11" s="365"/>
      <c r="H11" s="365"/>
      <c r="I11" s="365"/>
      <c r="J11" s="375"/>
      <c r="K11" s="375"/>
      <c r="L11" s="366">
        <f>(G11-F11)+(I11-H11)+(K11-J11)</f>
        <v>0</v>
      </c>
      <c r="M11" s="366">
        <f t="shared" si="29"/>
        <v>0</v>
      </c>
      <c r="N11" s="382">
        <f>IF(Aug!$H$48="x",AU11+Aug!$N$37,AU11)</f>
        <v>1.2666666666666666</v>
      </c>
      <c r="O11" s="377" t="str">
        <f t="shared" si="21"/>
        <v>-</v>
      </c>
      <c r="P11" s="383">
        <f t="shared" si="22"/>
        <v>1.2666666666666666</v>
      </c>
      <c r="Q11" s="364">
        <f t="shared" si="0"/>
        <v>0</v>
      </c>
      <c r="R11" s="364">
        <f t="shared" si="1"/>
        <v>0</v>
      </c>
      <c r="S11" s="364">
        <f t="shared" si="2"/>
        <v>0</v>
      </c>
      <c r="T11" s="364">
        <f t="shared" si="3"/>
        <v>0</v>
      </c>
      <c r="U11" s="366">
        <f>L11</f>
        <v>0</v>
      </c>
      <c r="V11" s="366">
        <f t="shared" si="23"/>
        <v>0</v>
      </c>
      <c r="W11" s="366">
        <f t="shared" si="24"/>
        <v>0</v>
      </c>
      <c r="X11" s="364"/>
      <c r="Y11" s="365"/>
      <c r="Z11" s="365"/>
      <c r="AA11" s="368">
        <f t="shared" si="4"/>
        <v>0</v>
      </c>
      <c r="AB11" s="368">
        <f t="shared" si="5"/>
        <v>0</v>
      </c>
      <c r="AC11" s="368">
        <f t="shared" si="25"/>
        <v>0</v>
      </c>
      <c r="AD11" s="368">
        <f t="shared" si="6"/>
        <v>0</v>
      </c>
      <c r="AE11" s="369">
        <f t="shared" si="26"/>
        <v>0</v>
      </c>
      <c r="AF11" s="368">
        <f t="shared" si="27"/>
        <v>0</v>
      </c>
      <c r="AG11" s="369">
        <f t="shared" si="28"/>
        <v>0</v>
      </c>
      <c r="AH11" s="368">
        <f t="shared" si="7"/>
        <v>0</v>
      </c>
      <c r="AI11" s="370">
        <f>IF((D11&lt;&gt;""),VLOOKUP(D11,Data!$E$36:$H$53,4),)</f>
        <v>0</v>
      </c>
      <c r="AJ11" s="370">
        <f t="shared" si="8"/>
        <v>0</v>
      </c>
      <c r="AK11" s="371">
        <f t="shared" si="9"/>
        <v>0</v>
      </c>
      <c r="AL11" s="371">
        <f t="shared" si="10"/>
        <v>0</v>
      </c>
      <c r="AM11" s="372">
        <f t="shared" si="11"/>
        <v>0</v>
      </c>
      <c r="AN11" s="370">
        <f t="shared" si="12"/>
        <v>0</v>
      </c>
      <c r="AO11" s="373">
        <f t="shared" si="13"/>
        <v>0</v>
      </c>
      <c r="AP11" s="373">
        <f t="shared" si="14"/>
        <v>0</v>
      </c>
      <c r="AQ11" s="373">
        <f t="shared" si="15"/>
        <v>0</v>
      </c>
      <c r="AR11" s="373">
        <f t="shared" si="16"/>
        <v>0</v>
      </c>
      <c r="AS11" s="371">
        <f t="shared" si="17"/>
        <v>0</v>
      </c>
      <c r="AT11" s="371">
        <f t="shared" si="18"/>
        <v>0</v>
      </c>
      <c r="AU11" s="366">
        <f>IF(Data!$H$8="x",AV11,AW11)</f>
        <v>1.2666666666666666</v>
      </c>
      <c r="AV11" s="366">
        <f t="shared" si="19"/>
        <v>0.6333333333333333</v>
      </c>
      <c r="AW11" s="366">
        <f>AW10</f>
        <v>1.2666666666666666</v>
      </c>
      <c r="AX11" s="362" t="str">
        <f t="shared" si="20"/>
        <v>Za</v>
      </c>
      <c r="AY11" s="371">
        <f>IF((R39="B2")*AND(R40&lt;&gt;""),VLOOKUP(R40,Barema!$AC$5:$AD$31,2),)</f>
        <v>0</v>
      </c>
      <c r="AZ11" s="371" t="s">
        <v>4</v>
      </c>
      <c r="BA11" s="439"/>
    </row>
    <row r="12" spans="1:54" s="376" customFormat="1" x14ac:dyDescent="0.2">
      <c r="A12" s="374"/>
      <c r="B12" s="362" t="s">
        <v>173</v>
      </c>
      <c r="C12" s="363" t="s">
        <v>484</v>
      </c>
      <c r="D12" s="364"/>
      <c r="E12" s="403"/>
      <c r="F12" s="365"/>
      <c r="G12" s="365"/>
      <c r="H12" s="365"/>
      <c r="I12" s="365"/>
      <c r="J12" s="375"/>
      <c r="K12" s="375"/>
      <c r="L12" s="366">
        <f>(G12-F12)+(I12-H12)+(K12-J12)</f>
        <v>0</v>
      </c>
      <c r="M12" s="366">
        <f t="shared" si="29"/>
        <v>0</v>
      </c>
      <c r="N12" s="382">
        <f>IF(Aug!$H$48="x",AU12+Aug!$N$37,AU12)</f>
        <v>1.2666666666666666</v>
      </c>
      <c r="O12" s="377" t="str">
        <f t="shared" si="21"/>
        <v>-</v>
      </c>
      <c r="P12" s="383">
        <f t="shared" si="22"/>
        <v>1.2666666666666666</v>
      </c>
      <c r="Q12" s="364">
        <f t="shared" si="0"/>
        <v>0</v>
      </c>
      <c r="R12" s="364">
        <f t="shared" si="1"/>
        <v>0</v>
      </c>
      <c r="S12" s="364">
        <f t="shared" si="2"/>
        <v>0</v>
      </c>
      <c r="T12" s="364">
        <f t="shared" si="3"/>
        <v>0</v>
      </c>
      <c r="U12" s="366">
        <f>L12</f>
        <v>0</v>
      </c>
      <c r="V12" s="366">
        <f t="shared" si="23"/>
        <v>0</v>
      </c>
      <c r="W12" s="366">
        <f t="shared" si="24"/>
        <v>0</v>
      </c>
      <c r="X12" s="364"/>
      <c r="Y12" s="365"/>
      <c r="Z12" s="365"/>
      <c r="AA12" s="368">
        <f t="shared" si="4"/>
        <v>0</v>
      </c>
      <c r="AB12" s="368">
        <f t="shared" si="5"/>
        <v>0</v>
      </c>
      <c r="AC12" s="368">
        <f t="shared" si="25"/>
        <v>0</v>
      </c>
      <c r="AD12" s="368">
        <f t="shared" si="6"/>
        <v>0</v>
      </c>
      <c r="AE12" s="369">
        <f t="shared" si="26"/>
        <v>0</v>
      </c>
      <c r="AF12" s="368">
        <f t="shared" si="27"/>
        <v>0</v>
      </c>
      <c r="AG12" s="369">
        <f t="shared" si="28"/>
        <v>0</v>
      </c>
      <c r="AH12" s="368">
        <f t="shared" si="7"/>
        <v>0</v>
      </c>
      <c r="AI12" s="370">
        <f>IF((D12&lt;&gt;""),VLOOKUP(D12,Data!$E$36:$H$53,4),)</f>
        <v>0</v>
      </c>
      <c r="AJ12" s="370">
        <f t="shared" si="8"/>
        <v>0</v>
      </c>
      <c r="AK12" s="371">
        <f t="shared" si="9"/>
        <v>0</v>
      </c>
      <c r="AL12" s="371">
        <f t="shared" si="10"/>
        <v>0</v>
      </c>
      <c r="AM12" s="372">
        <f t="shared" si="11"/>
        <v>0</v>
      </c>
      <c r="AN12" s="370">
        <f t="shared" si="12"/>
        <v>0</v>
      </c>
      <c r="AO12" s="373">
        <f t="shared" si="13"/>
        <v>0</v>
      </c>
      <c r="AP12" s="373">
        <f t="shared" si="14"/>
        <v>0</v>
      </c>
      <c r="AQ12" s="373">
        <f t="shared" si="15"/>
        <v>0</v>
      </c>
      <c r="AR12" s="373">
        <f t="shared" si="16"/>
        <v>0</v>
      </c>
      <c r="AS12" s="371">
        <f t="shared" si="17"/>
        <v>0</v>
      </c>
      <c r="AT12" s="371">
        <f t="shared" si="18"/>
        <v>0</v>
      </c>
      <c r="AU12" s="366">
        <f>IF(Data!$H$8="x",AV12,AW12)</f>
        <v>1.2666666666666666</v>
      </c>
      <c r="AV12" s="366">
        <f t="shared" si="19"/>
        <v>0.6333333333333333</v>
      </c>
      <c r="AW12" s="366">
        <f>AW11</f>
        <v>1.2666666666666666</v>
      </c>
      <c r="AX12" s="362" t="str">
        <f t="shared" si="20"/>
        <v>Zo</v>
      </c>
      <c r="AY12" s="371">
        <f>IF((R39="B3")*AND(R40&lt;&gt;""),VLOOKUP(R40,Barema!$AF$5:$AG$31,2),)</f>
        <v>0</v>
      </c>
      <c r="AZ12" s="371" t="s">
        <v>5</v>
      </c>
      <c r="BA12" s="439"/>
    </row>
    <row r="13" spans="1:54" s="378" customFormat="1" x14ac:dyDescent="0.2">
      <c r="A13" s="309"/>
      <c r="B13" s="6" t="s">
        <v>175</v>
      </c>
      <c r="C13" s="311" t="s">
        <v>485</v>
      </c>
      <c r="D13" s="312"/>
      <c r="E13" s="414"/>
      <c r="F13" s="274"/>
      <c r="G13" s="274"/>
      <c r="H13" s="310"/>
      <c r="I13" s="310"/>
      <c r="J13" s="336"/>
      <c r="K13" s="336"/>
      <c r="L13" s="313">
        <f>(G13-F13)+(I13-H13)+(K13-J13)+AI13+AN13</f>
        <v>0</v>
      </c>
      <c r="M13" s="313">
        <f t="shared" si="29"/>
        <v>0</v>
      </c>
      <c r="N13" s="338">
        <f>IF(Aug!$H$48="x",AU13+Aug!$N$37,AU13)</f>
        <v>1.5833333333333333</v>
      </c>
      <c r="O13" s="337" t="str">
        <f t="shared" si="21"/>
        <v>-</v>
      </c>
      <c r="P13" s="339">
        <f t="shared" si="22"/>
        <v>1.5833333333333333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5"/>
        <v>0</v>
      </c>
      <c r="AD13" s="315">
        <f t="shared" si="6"/>
        <v>0</v>
      </c>
      <c r="AE13" s="316">
        <f t="shared" si="26"/>
        <v>0</v>
      </c>
      <c r="AF13" s="315">
        <f t="shared" si="27"/>
        <v>0</v>
      </c>
      <c r="AG13" s="316">
        <f t="shared" si="28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Ma</v>
      </c>
      <c r="AY13" s="4">
        <f>IF((R39="B4")*AND(R40&lt;&gt;""),VLOOKUP(R40,Barema!$AI$5:$AJ$34,2),)</f>
        <v>0</v>
      </c>
      <c r="AZ13" s="4" t="s">
        <v>6</v>
      </c>
      <c r="BA13" s="102"/>
    </row>
    <row r="14" spans="1:54" s="378" customFormat="1" x14ac:dyDescent="0.2">
      <c r="A14" s="309"/>
      <c r="B14" s="6" t="s">
        <v>177</v>
      </c>
      <c r="C14" s="311" t="s">
        <v>486</v>
      </c>
      <c r="D14" s="312"/>
      <c r="E14" s="414"/>
      <c r="F14" s="274"/>
      <c r="G14" s="274"/>
      <c r="H14" s="310"/>
      <c r="I14" s="310"/>
      <c r="J14" s="336"/>
      <c r="K14" s="336"/>
      <c r="L14" s="313">
        <f>(G14-F14)+(I14-H14)+(K14-J14)+AI14+AN14</f>
        <v>0</v>
      </c>
      <c r="M14" s="313">
        <f t="shared" si="29"/>
        <v>0</v>
      </c>
      <c r="N14" s="338">
        <f>IF(Aug!$H$48="x",AU14+Aug!$N$37,AU14)</f>
        <v>1.9</v>
      </c>
      <c r="O14" s="337" t="str">
        <f t="shared" si="21"/>
        <v>-</v>
      </c>
      <c r="P14" s="339">
        <f t="shared" si="22"/>
        <v>1.9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5"/>
        <v>0</v>
      </c>
      <c r="AD14" s="315">
        <f t="shared" si="6"/>
        <v>0</v>
      </c>
      <c r="AE14" s="316">
        <f t="shared" si="26"/>
        <v>0</v>
      </c>
      <c r="AF14" s="315">
        <f t="shared" si="27"/>
        <v>0</v>
      </c>
      <c r="AG14" s="316">
        <f t="shared" si="28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Di</v>
      </c>
      <c r="AY14" s="4">
        <f>IF((R39="B5")*AND(R40&lt;&gt;""),VLOOKUP(R40,Barema!$AL$5:$AM$34,2),)</f>
        <v>0</v>
      </c>
      <c r="AZ14" s="4" t="s">
        <v>7</v>
      </c>
      <c r="BA14" s="102"/>
    </row>
    <row r="15" spans="1:54" s="378" customFormat="1" x14ac:dyDescent="0.2">
      <c r="A15" s="309"/>
      <c r="B15" s="6" t="s">
        <v>179</v>
      </c>
      <c r="C15" s="311" t="s">
        <v>487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>M14+L15</f>
        <v>0</v>
      </c>
      <c r="N15" s="338">
        <f>IF(Aug!$H$48="x",AU15+Aug!$N$37,AU15)</f>
        <v>2.2166666666666668</v>
      </c>
      <c r="O15" s="337" t="str">
        <f t="shared" si="21"/>
        <v>-</v>
      </c>
      <c r="P15" s="339">
        <f t="shared" si="22"/>
        <v>2.2166666666666668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5"/>
        <v>0</v>
      </c>
      <c r="AD15" s="315">
        <f t="shared" si="6"/>
        <v>0</v>
      </c>
      <c r="AE15" s="316">
        <f t="shared" si="26"/>
        <v>0</v>
      </c>
      <c r="AF15" s="315">
        <f t="shared" si="27"/>
        <v>0</v>
      </c>
      <c r="AG15" s="316">
        <f t="shared" si="28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Wo</v>
      </c>
      <c r="AY15" s="4">
        <f>IF((R39="M1.1")*AND(R40&lt;&gt;""),VLOOKUP(R40,Barema!$AO$5:$AP$31,2),)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167</v>
      </c>
      <c r="C16" s="311" t="s">
        <v>488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>M15+L16</f>
        <v>0</v>
      </c>
      <c r="N16" s="338">
        <f>IF(Aug!$H$48="x",AU16+Aug!$N$37,AU16)</f>
        <v>2.5333333333333332</v>
      </c>
      <c r="O16" s="337" t="str">
        <f t="shared" si="21"/>
        <v>-</v>
      </c>
      <c r="P16" s="339">
        <f t="shared" si="22"/>
        <v>2.5333333333333332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5"/>
        <v>0</v>
      </c>
      <c r="AD16" s="315">
        <f t="shared" si="6"/>
        <v>0</v>
      </c>
      <c r="AE16" s="316">
        <f t="shared" si="26"/>
        <v>0</v>
      </c>
      <c r="AF16" s="315">
        <f t="shared" si="27"/>
        <v>0</v>
      </c>
      <c r="AG16" s="316">
        <f t="shared" si="28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2.5333333333333332</v>
      </c>
      <c r="AV16" s="313">
        <f t="shared" si="19"/>
        <v>1.2666666666666666</v>
      </c>
      <c r="AW16" s="313">
        <f>IF(D16="V",AW15,(AW15+"07:36"))</f>
        <v>2.5333333333333332</v>
      </c>
      <c r="AX16" s="6" t="str">
        <f t="shared" si="20"/>
        <v>Do</v>
      </c>
      <c r="AY16" s="4">
        <f>IF((R39="M1.2")*AND(R40&lt;&gt;""),VLOOKUP(R40,Barema!$AR$5:$AS$31,2),)</f>
        <v>0</v>
      </c>
      <c r="AZ16" s="4" t="s">
        <v>9</v>
      </c>
      <c r="BA16" s="102"/>
    </row>
    <row r="17" spans="1:53" s="378" customFormat="1" x14ac:dyDescent="0.2">
      <c r="A17" s="309"/>
      <c r="B17" s="6" t="s">
        <v>169</v>
      </c>
      <c r="C17" s="311" t="s">
        <v>489</v>
      </c>
      <c r="D17" s="312"/>
      <c r="E17" s="414"/>
      <c r="F17" s="274"/>
      <c r="G17" s="274"/>
      <c r="H17" s="310"/>
      <c r="I17" s="310"/>
      <c r="J17" s="336"/>
      <c r="K17" s="336"/>
      <c r="L17" s="313">
        <f>(G17-F17)+(I17-H17)+(K17-J17)+AI17+AN17</f>
        <v>0</v>
      </c>
      <c r="M17" s="313">
        <f t="shared" si="29"/>
        <v>0</v>
      </c>
      <c r="N17" s="338">
        <f>IF(Aug!$H$48="x",AU17+Aug!$N$37,AU17)</f>
        <v>2.8499999999999996</v>
      </c>
      <c r="O17" s="337" t="str">
        <f t="shared" si="21"/>
        <v>-</v>
      </c>
      <c r="P17" s="339">
        <f t="shared" si="22"/>
        <v>2.8499999999999996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3"/>
        <v>0</v>
      </c>
      <c r="W17" s="313">
        <f t="shared" si="24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5"/>
        <v>0</v>
      </c>
      <c r="AD17" s="315">
        <f t="shared" si="6"/>
        <v>0</v>
      </c>
      <c r="AE17" s="316">
        <f t="shared" si="26"/>
        <v>0</v>
      </c>
      <c r="AF17" s="315">
        <f t="shared" si="27"/>
        <v>0</v>
      </c>
      <c r="AG17" s="316">
        <f t="shared" si="28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2.8499999999999996</v>
      </c>
      <c r="AV17" s="313">
        <f t="shared" si="19"/>
        <v>1.4249999999999998</v>
      </c>
      <c r="AW17" s="313">
        <f>IF(D17="V",AW16,(AW16+"07:36"))</f>
        <v>2.8499999999999996</v>
      </c>
      <c r="AX17" s="6" t="str">
        <f t="shared" si="20"/>
        <v>Vr</v>
      </c>
      <c r="AY17" s="4">
        <f>IF((R39="M2.1")*AND(R40&lt;&gt;""),VLOOKUP(R40,Barema!$AU$5:$AV$31,2),)</f>
        <v>0</v>
      </c>
      <c r="AZ17" s="4" t="s">
        <v>10</v>
      </c>
      <c r="BA17" s="102"/>
    </row>
    <row r="18" spans="1:53" s="376" customFormat="1" x14ac:dyDescent="0.2">
      <c r="A18" s="374"/>
      <c r="B18" s="362" t="s">
        <v>171</v>
      </c>
      <c r="C18" s="363" t="s">
        <v>490</v>
      </c>
      <c r="D18" s="364"/>
      <c r="E18" s="403"/>
      <c r="F18" s="365"/>
      <c r="G18" s="365"/>
      <c r="H18" s="365"/>
      <c r="I18" s="365"/>
      <c r="J18" s="375"/>
      <c r="K18" s="375"/>
      <c r="L18" s="366">
        <f>(G18-F18)+(I18-H18)+(K18-J18)</f>
        <v>0</v>
      </c>
      <c r="M18" s="366">
        <f t="shared" si="29"/>
        <v>0</v>
      </c>
      <c r="N18" s="382">
        <f>IF(Aug!$H$48="x",AU18+Aug!$N$37,AU18)</f>
        <v>2.8499999999999996</v>
      </c>
      <c r="O18" s="377" t="str">
        <f t="shared" si="21"/>
        <v>-</v>
      </c>
      <c r="P18" s="383">
        <f t="shared" si="22"/>
        <v>2.8499999999999996</v>
      </c>
      <c r="Q18" s="364">
        <f t="shared" si="0"/>
        <v>0</v>
      </c>
      <c r="R18" s="364">
        <f t="shared" si="1"/>
        <v>0</v>
      </c>
      <c r="S18" s="364">
        <f t="shared" si="2"/>
        <v>0</v>
      </c>
      <c r="T18" s="364">
        <f t="shared" si="3"/>
        <v>0</v>
      </c>
      <c r="U18" s="366">
        <f>L18</f>
        <v>0</v>
      </c>
      <c r="V18" s="366">
        <f t="shared" si="23"/>
        <v>0</v>
      </c>
      <c r="W18" s="366">
        <f t="shared" si="24"/>
        <v>0</v>
      </c>
      <c r="X18" s="364"/>
      <c r="Y18" s="365"/>
      <c r="Z18" s="365"/>
      <c r="AA18" s="368">
        <f t="shared" si="4"/>
        <v>0</v>
      </c>
      <c r="AB18" s="368">
        <f t="shared" si="5"/>
        <v>0</v>
      </c>
      <c r="AC18" s="368">
        <f t="shared" si="25"/>
        <v>0</v>
      </c>
      <c r="AD18" s="368">
        <f t="shared" si="6"/>
        <v>0</v>
      </c>
      <c r="AE18" s="369">
        <f t="shared" si="26"/>
        <v>0</v>
      </c>
      <c r="AF18" s="368">
        <f t="shared" si="27"/>
        <v>0</v>
      </c>
      <c r="AG18" s="369">
        <f t="shared" si="28"/>
        <v>0</v>
      </c>
      <c r="AH18" s="368">
        <f t="shared" si="7"/>
        <v>0</v>
      </c>
      <c r="AI18" s="370">
        <f>IF((D18&lt;&gt;""),VLOOKUP(D18,Data!$E$36:$H$53,4),)</f>
        <v>0</v>
      </c>
      <c r="AJ18" s="370">
        <f t="shared" si="8"/>
        <v>0</v>
      </c>
      <c r="AK18" s="371">
        <f t="shared" si="9"/>
        <v>0</v>
      </c>
      <c r="AL18" s="371">
        <f t="shared" si="10"/>
        <v>0</v>
      </c>
      <c r="AM18" s="372">
        <f t="shared" si="11"/>
        <v>0</v>
      </c>
      <c r="AN18" s="370">
        <f t="shared" si="12"/>
        <v>0</v>
      </c>
      <c r="AO18" s="373">
        <f t="shared" si="13"/>
        <v>0</v>
      </c>
      <c r="AP18" s="373">
        <f t="shared" si="14"/>
        <v>0</v>
      </c>
      <c r="AQ18" s="373">
        <f t="shared" si="15"/>
        <v>0</v>
      </c>
      <c r="AR18" s="373">
        <f t="shared" si="16"/>
        <v>0</v>
      </c>
      <c r="AS18" s="371">
        <f t="shared" si="17"/>
        <v>0</v>
      </c>
      <c r="AT18" s="371">
        <f t="shared" si="18"/>
        <v>0</v>
      </c>
      <c r="AU18" s="366">
        <f>IF(Data!$H$8="x",AV18,AW18)</f>
        <v>2.8499999999999996</v>
      </c>
      <c r="AV18" s="366">
        <f t="shared" si="19"/>
        <v>1.4249999999999998</v>
      </c>
      <c r="AW18" s="366">
        <f>AW17</f>
        <v>2.8499999999999996</v>
      </c>
      <c r="AX18" s="362" t="str">
        <f t="shared" si="20"/>
        <v>Za</v>
      </c>
      <c r="AY18" s="371">
        <f>IF((R39="M2.2")*AND(R40&lt;&gt;""),VLOOKUP(R40,Barema!$AX$5:$AY$31,2),)</f>
        <v>0</v>
      </c>
      <c r="AZ18" s="371" t="s">
        <v>11</v>
      </c>
      <c r="BA18" s="439"/>
    </row>
    <row r="19" spans="1:53" s="376" customFormat="1" x14ac:dyDescent="0.2">
      <c r="A19" s="374"/>
      <c r="B19" s="362" t="s">
        <v>173</v>
      </c>
      <c r="C19" s="363" t="s">
        <v>491</v>
      </c>
      <c r="D19" s="405"/>
      <c r="E19" s="403"/>
      <c r="F19" s="365"/>
      <c r="G19" s="365"/>
      <c r="H19" s="365"/>
      <c r="I19" s="365"/>
      <c r="J19" s="375"/>
      <c r="K19" s="375"/>
      <c r="L19" s="366">
        <f>(G19-F19)+(I19-H19)+(K19-J19)</f>
        <v>0</v>
      </c>
      <c r="M19" s="366">
        <f t="shared" si="29"/>
        <v>0</v>
      </c>
      <c r="N19" s="382">
        <f>IF(Aug!$H$48="x",AU19+Aug!$N$37,AU19)</f>
        <v>2.8499999999999996</v>
      </c>
      <c r="O19" s="377" t="str">
        <f t="shared" si="21"/>
        <v>-</v>
      </c>
      <c r="P19" s="383">
        <f t="shared" si="22"/>
        <v>2.8499999999999996</v>
      </c>
      <c r="Q19" s="364">
        <f t="shared" si="0"/>
        <v>0</v>
      </c>
      <c r="R19" s="364">
        <f t="shared" si="1"/>
        <v>0</v>
      </c>
      <c r="S19" s="364">
        <f t="shared" si="2"/>
        <v>0</v>
      </c>
      <c r="T19" s="364">
        <f t="shared" si="3"/>
        <v>0</v>
      </c>
      <c r="U19" s="366">
        <f>L19</f>
        <v>0</v>
      </c>
      <c r="V19" s="366">
        <f t="shared" si="23"/>
        <v>0</v>
      </c>
      <c r="W19" s="366">
        <f t="shared" si="24"/>
        <v>0</v>
      </c>
      <c r="X19" s="364"/>
      <c r="Y19" s="365"/>
      <c r="Z19" s="365"/>
      <c r="AA19" s="368">
        <f t="shared" si="4"/>
        <v>0</v>
      </c>
      <c r="AB19" s="368">
        <f t="shared" si="5"/>
        <v>0</v>
      </c>
      <c r="AC19" s="368">
        <f t="shared" si="25"/>
        <v>0</v>
      </c>
      <c r="AD19" s="368">
        <f t="shared" si="6"/>
        <v>0</v>
      </c>
      <c r="AE19" s="369">
        <f t="shared" si="26"/>
        <v>0</v>
      </c>
      <c r="AF19" s="368">
        <f t="shared" si="27"/>
        <v>0</v>
      </c>
      <c r="AG19" s="369">
        <f t="shared" si="28"/>
        <v>0</v>
      </c>
      <c r="AH19" s="368">
        <f t="shared" si="7"/>
        <v>0</v>
      </c>
      <c r="AI19" s="370">
        <f>IF((D19&lt;&gt;""),VLOOKUP(D19,Data!$E$36:$H$53,4),)</f>
        <v>0</v>
      </c>
      <c r="AJ19" s="370">
        <f t="shared" si="8"/>
        <v>0</v>
      </c>
      <c r="AK19" s="371">
        <f t="shared" si="9"/>
        <v>0</v>
      </c>
      <c r="AL19" s="371">
        <f t="shared" si="10"/>
        <v>0</v>
      </c>
      <c r="AM19" s="372">
        <f t="shared" si="11"/>
        <v>0</v>
      </c>
      <c r="AN19" s="370">
        <f t="shared" si="12"/>
        <v>0</v>
      </c>
      <c r="AO19" s="373">
        <f t="shared" si="13"/>
        <v>0</v>
      </c>
      <c r="AP19" s="373">
        <f t="shared" si="14"/>
        <v>0</v>
      </c>
      <c r="AQ19" s="373">
        <f t="shared" si="15"/>
        <v>0</v>
      </c>
      <c r="AR19" s="373">
        <f t="shared" si="16"/>
        <v>0</v>
      </c>
      <c r="AS19" s="371">
        <f t="shared" si="17"/>
        <v>0</v>
      </c>
      <c r="AT19" s="371">
        <f t="shared" si="18"/>
        <v>0</v>
      </c>
      <c r="AU19" s="366">
        <f>IF(Data!$H$8="x",AV19,AW19)</f>
        <v>2.8499999999999996</v>
      </c>
      <c r="AV19" s="366">
        <f t="shared" si="19"/>
        <v>1.4249999999999998</v>
      </c>
      <c r="AW19" s="366">
        <f>AW18</f>
        <v>2.8499999999999996</v>
      </c>
      <c r="AX19" s="362" t="str">
        <f t="shared" si="20"/>
        <v>Zo</v>
      </c>
      <c r="AY19" s="371">
        <f>IF((R39="M3.1")*AND(R40&lt;&gt;""),VLOOKUP(R40,Barema!$BA$5:$BB$31,2),)</f>
        <v>30938.240000000002</v>
      </c>
      <c r="AZ19" s="371" t="s">
        <v>12</v>
      </c>
      <c r="BA19" s="440"/>
    </row>
    <row r="20" spans="1:53" s="378" customFormat="1" x14ac:dyDescent="0.2">
      <c r="A20" s="309"/>
      <c r="B20" s="6" t="s">
        <v>175</v>
      </c>
      <c r="C20" s="311" t="s">
        <v>492</v>
      </c>
      <c r="D20" s="312"/>
      <c r="E20" s="414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13">
        <f t="shared" si="29"/>
        <v>0</v>
      </c>
      <c r="N20" s="338">
        <f>IF(Aug!$H$48="x",AU20+Aug!$N$37,AU20)</f>
        <v>3.1666666666666661</v>
      </c>
      <c r="O20" s="337" t="str">
        <f t="shared" si="21"/>
        <v>-</v>
      </c>
      <c r="P20" s="339">
        <f t="shared" si="22"/>
        <v>3.1666666666666661</v>
      </c>
      <c r="Q20" s="312">
        <f t="shared" si="0"/>
        <v>0</v>
      </c>
      <c r="R20" s="312">
        <f t="shared" si="1"/>
        <v>0</v>
      </c>
      <c r="S20" s="312">
        <f t="shared" si="2"/>
        <v>0</v>
      </c>
      <c r="T20" s="312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5"/>
        <v>0</v>
      </c>
      <c r="AD20" s="315">
        <f t="shared" si="6"/>
        <v>0</v>
      </c>
      <c r="AE20" s="316">
        <f t="shared" si="26"/>
        <v>0</v>
      </c>
      <c r="AF20" s="315">
        <f t="shared" si="27"/>
        <v>0</v>
      </c>
      <c r="AG20" s="316">
        <f t="shared" si="28"/>
        <v>0</v>
      </c>
      <c r="AH20" s="315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 t="shared" si="19"/>
        <v>1.583333333333333</v>
      </c>
      <c r="AW20" s="313">
        <f>IF(D20="V",AW19,(AW19+"07:36"))</f>
        <v>3.1666666666666661</v>
      </c>
      <c r="AX20" s="6" t="str">
        <f t="shared" si="20"/>
        <v>Ma</v>
      </c>
      <c r="AY20" s="4">
        <f>IF((R39="M3.2")*AND(R40&lt;&gt;""),VLOOKUP(R40,Barema!$BD$5:$BE$31,2),)</f>
        <v>0</v>
      </c>
      <c r="AZ20" s="4" t="s">
        <v>13</v>
      </c>
      <c r="BA20" s="102"/>
    </row>
    <row r="21" spans="1:53" s="378" customFormat="1" x14ac:dyDescent="0.2">
      <c r="A21" s="309"/>
      <c r="B21" s="6" t="s">
        <v>177</v>
      </c>
      <c r="C21" s="311" t="s">
        <v>493</v>
      </c>
      <c r="D21" s="312"/>
      <c r="E21" s="414"/>
      <c r="F21" s="274"/>
      <c r="G21" s="274"/>
      <c r="H21" s="310"/>
      <c r="I21" s="310"/>
      <c r="J21" s="336"/>
      <c r="K21" s="336"/>
      <c r="L21" s="313">
        <f>(G21-F21)+(I21-H21)+(K21-J21)+AI21+AN21</f>
        <v>0</v>
      </c>
      <c r="M21" s="313">
        <f t="shared" si="29"/>
        <v>0</v>
      </c>
      <c r="N21" s="338">
        <f>IF(Aug!$H$48="x",AU21+Aug!$N$37,AU21)</f>
        <v>3.4833333333333325</v>
      </c>
      <c r="O21" s="337" t="str">
        <f t="shared" si="21"/>
        <v>-</v>
      </c>
      <c r="P21" s="339">
        <f t="shared" si="22"/>
        <v>3.4833333333333325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5"/>
        <v>0</v>
      </c>
      <c r="AD21" s="315">
        <f t="shared" si="6"/>
        <v>0</v>
      </c>
      <c r="AE21" s="316">
        <f t="shared" si="26"/>
        <v>0</v>
      </c>
      <c r="AF21" s="315">
        <f t="shared" si="27"/>
        <v>0</v>
      </c>
      <c r="AG21" s="316">
        <f t="shared" si="28"/>
        <v>0</v>
      </c>
      <c r="AH21" s="315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 t="shared" si="19"/>
        <v>1.7416666666666663</v>
      </c>
      <c r="AW21" s="313">
        <f>IF(D21="V",AW20,(AW20+"07:36"))</f>
        <v>3.4833333333333325</v>
      </c>
      <c r="AX21" s="6" t="str">
        <f t="shared" si="20"/>
        <v>Di</v>
      </c>
      <c r="AY21" s="4">
        <f>IF((R39="M4.1")*AND(R40&lt;&gt;""),VLOOKUP(R40,Barema!$BG$5:$BH$34,2),)</f>
        <v>0</v>
      </c>
      <c r="AZ21" s="4" t="s">
        <v>14</v>
      </c>
      <c r="BA21" s="102"/>
    </row>
    <row r="22" spans="1:53" s="378" customFormat="1" x14ac:dyDescent="0.2">
      <c r="A22" s="309"/>
      <c r="B22" s="6" t="s">
        <v>179</v>
      </c>
      <c r="C22" s="311" t="s">
        <v>494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>M21+L22</f>
        <v>0</v>
      </c>
      <c r="N22" s="338">
        <f>IF(Aug!$H$48="x",AU22+Aug!$N$37,AU22)</f>
        <v>3.7999999999999989</v>
      </c>
      <c r="O22" s="337" t="str">
        <f t="shared" si="21"/>
        <v>-</v>
      </c>
      <c r="P22" s="339">
        <f t="shared" si="22"/>
        <v>3.7999999999999989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5"/>
        <v>0</v>
      </c>
      <c r="AD22" s="315">
        <f t="shared" si="6"/>
        <v>0</v>
      </c>
      <c r="AE22" s="316">
        <f t="shared" si="26"/>
        <v>0</v>
      </c>
      <c r="AF22" s="315">
        <f t="shared" si="27"/>
        <v>0</v>
      </c>
      <c r="AG22" s="316">
        <f t="shared" si="28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Wo</v>
      </c>
      <c r="AY22" s="4">
        <f>IF((R39="M4.2")*AND(R40&lt;&gt;""),VLOOKUP(R40,Barema!$BJ$5:$BK$31,2),)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167</v>
      </c>
      <c r="C23" s="311" t="s">
        <v>495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>M22+L23</f>
        <v>0</v>
      </c>
      <c r="N23" s="338">
        <f>IF(Aug!$H$48="x",AU23+Aug!$N$37,AU23)</f>
        <v>4.1166666666666654</v>
      </c>
      <c r="O23" s="337" t="str">
        <f t="shared" si="21"/>
        <v>-</v>
      </c>
      <c r="P23" s="339">
        <f t="shared" si="22"/>
        <v>4.1166666666666654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5"/>
        <v>0</v>
      </c>
      <c r="AD23" s="315">
        <f t="shared" si="6"/>
        <v>0</v>
      </c>
      <c r="AE23" s="316">
        <f t="shared" si="26"/>
        <v>0</v>
      </c>
      <c r="AF23" s="315">
        <f t="shared" si="27"/>
        <v>0</v>
      </c>
      <c r="AG23" s="316">
        <f t="shared" si="28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4.1166666666666654</v>
      </c>
      <c r="AV23" s="313">
        <f t="shared" si="19"/>
        <v>2.0583333333333327</v>
      </c>
      <c r="AW23" s="313">
        <f>IF(D23="V",AW22,(AW22+"07:36"))</f>
        <v>4.1166666666666654</v>
      </c>
      <c r="AX23" s="6" t="str">
        <f t="shared" si="20"/>
        <v>Do</v>
      </c>
      <c r="AY23" s="4">
        <f>IF((R39="M5.1")*AND(R40&lt;&gt;""),VLOOKUP(R40,Barema!$BM$5:$BN$34,2),)</f>
        <v>0</v>
      </c>
      <c r="AZ23" s="4" t="s">
        <v>16</v>
      </c>
      <c r="BA23" s="102"/>
    </row>
    <row r="24" spans="1:53" s="378" customFormat="1" x14ac:dyDescent="0.2">
      <c r="A24" s="309"/>
      <c r="B24" s="6" t="s">
        <v>169</v>
      </c>
      <c r="C24" s="311" t="s">
        <v>496</v>
      </c>
      <c r="D24" s="312"/>
      <c r="E24" s="414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 t="shared" si="29"/>
        <v>0</v>
      </c>
      <c r="N24" s="338">
        <f>IF(Aug!$H$48="x",AU24+Aug!$N$37,AU24)</f>
        <v>4.4333333333333318</v>
      </c>
      <c r="O24" s="337" t="str">
        <f t="shared" si="21"/>
        <v>-</v>
      </c>
      <c r="P24" s="339">
        <f t="shared" si="22"/>
        <v>4.4333333333333318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5"/>
        <v>0</v>
      </c>
      <c r="AD24" s="315">
        <f t="shared" si="6"/>
        <v>0</v>
      </c>
      <c r="AE24" s="316">
        <f t="shared" si="26"/>
        <v>0</v>
      </c>
      <c r="AF24" s="315">
        <f t="shared" si="27"/>
        <v>0</v>
      </c>
      <c r="AG24" s="316">
        <f t="shared" si="28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4.4333333333333318</v>
      </c>
      <c r="AV24" s="313">
        <f t="shared" si="19"/>
        <v>2.2166666666666659</v>
      </c>
      <c r="AW24" s="313">
        <f>IF(D24="V",AW23,(AW23+"07:36"))</f>
        <v>4.4333333333333318</v>
      </c>
      <c r="AX24" s="6" t="str">
        <f t="shared" si="20"/>
        <v>Vr</v>
      </c>
      <c r="AY24" s="4">
        <f>IF((R39="M5.2")*AND(R40&lt;&gt;""),VLOOKUP(R40,Barema!$BP$5:$BQ$31,2),)</f>
        <v>0</v>
      </c>
      <c r="AZ24" s="4" t="s">
        <v>17</v>
      </c>
      <c r="BA24" s="102"/>
    </row>
    <row r="25" spans="1:53" s="376" customFormat="1" x14ac:dyDescent="0.2">
      <c r="A25" s="374"/>
      <c r="B25" s="362" t="s">
        <v>171</v>
      </c>
      <c r="C25" s="363" t="s">
        <v>497</v>
      </c>
      <c r="D25" s="364"/>
      <c r="E25" s="403"/>
      <c r="F25" s="365"/>
      <c r="G25" s="365"/>
      <c r="H25" s="365"/>
      <c r="I25" s="365"/>
      <c r="J25" s="375"/>
      <c r="K25" s="375"/>
      <c r="L25" s="366">
        <f>(G25-F25)+(I25-H25)+(K25-J25)</f>
        <v>0</v>
      </c>
      <c r="M25" s="366">
        <f t="shared" si="29"/>
        <v>0</v>
      </c>
      <c r="N25" s="382">
        <f>IF(Aug!$H$48="x",AU25+Aug!$N$37,AU25)</f>
        <v>4.4333333333333318</v>
      </c>
      <c r="O25" s="377" t="str">
        <f t="shared" si="21"/>
        <v>-</v>
      </c>
      <c r="P25" s="383">
        <f t="shared" si="22"/>
        <v>4.4333333333333318</v>
      </c>
      <c r="Q25" s="364">
        <f t="shared" si="0"/>
        <v>0</v>
      </c>
      <c r="R25" s="364">
        <f t="shared" si="1"/>
        <v>0</v>
      </c>
      <c r="S25" s="364">
        <f t="shared" si="2"/>
        <v>0</v>
      </c>
      <c r="T25" s="364">
        <f t="shared" si="3"/>
        <v>0</v>
      </c>
      <c r="U25" s="366">
        <f>L25</f>
        <v>0</v>
      </c>
      <c r="V25" s="366">
        <f t="shared" si="23"/>
        <v>0</v>
      </c>
      <c r="W25" s="366">
        <f t="shared" si="24"/>
        <v>0</v>
      </c>
      <c r="X25" s="364"/>
      <c r="Y25" s="365"/>
      <c r="Z25" s="365"/>
      <c r="AA25" s="368">
        <f t="shared" si="4"/>
        <v>0</v>
      </c>
      <c r="AB25" s="368">
        <f t="shared" si="5"/>
        <v>0</v>
      </c>
      <c r="AC25" s="368">
        <f t="shared" si="25"/>
        <v>0</v>
      </c>
      <c r="AD25" s="368">
        <f t="shared" si="6"/>
        <v>0</v>
      </c>
      <c r="AE25" s="369">
        <f t="shared" si="26"/>
        <v>0</v>
      </c>
      <c r="AF25" s="368">
        <f t="shared" si="27"/>
        <v>0</v>
      </c>
      <c r="AG25" s="369">
        <f t="shared" si="28"/>
        <v>0</v>
      </c>
      <c r="AH25" s="368">
        <f t="shared" si="7"/>
        <v>0</v>
      </c>
      <c r="AI25" s="370">
        <f>IF((D25&lt;&gt;""),VLOOKUP(D25,Data!$E$36:$H$53,4),)</f>
        <v>0</v>
      </c>
      <c r="AJ25" s="370">
        <f t="shared" si="8"/>
        <v>0</v>
      </c>
      <c r="AK25" s="371">
        <f t="shared" si="9"/>
        <v>0</v>
      </c>
      <c r="AL25" s="371">
        <f t="shared" si="10"/>
        <v>0</v>
      </c>
      <c r="AM25" s="372">
        <f t="shared" si="11"/>
        <v>0</v>
      </c>
      <c r="AN25" s="370">
        <f t="shared" si="12"/>
        <v>0</v>
      </c>
      <c r="AO25" s="373">
        <f t="shared" si="13"/>
        <v>0</v>
      </c>
      <c r="AP25" s="373">
        <f t="shared" si="14"/>
        <v>0</v>
      </c>
      <c r="AQ25" s="373">
        <f t="shared" si="15"/>
        <v>0</v>
      </c>
      <c r="AR25" s="373">
        <f t="shared" si="16"/>
        <v>0</v>
      </c>
      <c r="AS25" s="371">
        <f t="shared" si="17"/>
        <v>0</v>
      </c>
      <c r="AT25" s="371">
        <f t="shared" si="18"/>
        <v>0</v>
      </c>
      <c r="AU25" s="366">
        <f>IF(Data!$H$8="x",AV25,AW25)</f>
        <v>4.4333333333333318</v>
      </c>
      <c r="AV25" s="366">
        <f t="shared" si="19"/>
        <v>2.2166666666666659</v>
      </c>
      <c r="AW25" s="366">
        <f>AW24</f>
        <v>4.4333333333333318</v>
      </c>
      <c r="AX25" s="362" t="str">
        <f t="shared" si="20"/>
        <v>Za</v>
      </c>
      <c r="AY25" s="371">
        <f>IF((R39="M6")*AND(R40&lt;&gt;""),VLOOKUP(R40,Barema!$BS$5:$BT$31,2),)</f>
        <v>0</v>
      </c>
      <c r="AZ25" s="371" t="s">
        <v>18</v>
      </c>
      <c r="BA25" s="439"/>
    </row>
    <row r="26" spans="1:53" s="376" customFormat="1" x14ac:dyDescent="0.2">
      <c r="A26" s="374"/>
      <c r="B26" s="362" t="s">
        <v>173</v>
      </c>
      <c r="C26" s="363" t="s">
        <v>498</v>
      </c>
      <c r="D26" s="364"/>
      <c r="E26" s="403"/>
      <c r="F26" s="365"/>
      <c r="G26" s="365"/>
      <c r="H26" s="365"/>
      <c r="I26" s="365"/>
      <c r="J26" s="375"/>
      <c r="K26" s="375"/>
      <c r="L26" s="366">
        <f>(G26-F26)+(I26-H26)+(K26-J26)</f>
        <v>0</v>
      </c>
      <c r="M26" s="366">
        <f t="shared" si="29"/>
        <v>0</v>
      </c>
      <c r="N26" s="382">
        <f>IF(Aug!$H$48="x",AU26+Aug!$N$37,AU26)</f>
        <v>4.4333333333333318</v>
      </c>
      <c r="O26" s="377" t="str">
        <f t="shared" si="21"/>
        <v>-</v>
      </c>
      <c r="P26" s="383">
        <f t="shared" si="22"/>
        <v>4.4333333333333318</v>
      </c>
      <c r="Q26" s="364">
        <f t="shared" si="0"/>
        <v>0</v>
      </c>
      <c r="R26" s="364">
        <f t="shared" si="1"/>
        <v>0</v>
      </c>
      <c r="S26" s="364">
        <f t="shared" si="2"/>
        <v>0</v>
      </c>
      <c r="T26" s="364">
        <f t="shared" si="3"/>
        <v>0</v>
      </c>
      <c r="U26" s="366">
        <f>L26</f>
        <v>0</v>
      </c>
      <c r="V26" s="366">
        <f t="shared" si="23"/>
        <v>0</v>
      </c>
      <c r="W26" s="366">
        <f t="shared" si="24"/>
        <v>0</v>
      </c>
      <c r="X26" s="364"/>
      <c r="Y26" s="365"/>
      <c r="Z26" s="365"/>
      <c r="AA26" s="368">
        <f t="shared" si="4"/>
        <v>0</v>
      </c>
      <c r="AB26" s="368">
        <f t="shared" si="5"/>
        <v>0</v>
      </c>
      <c r="AC26" s="368">
        <f t="shared" si="25"/>
        <v>0</v>
      </c>
      <c r="AD26" s="368">
        <f t="shared" si="6"/>
        <v>0</v>
      </c>
      <c r="AE26" s="369">
        <f t="shared" si="26"/>
        <v>0</v>
      </c>
      <c r="AF26" s="368">
        <f t="shared" si="27"/>
        <v>0</v>
      </c>
      <c r="AG26" s="369">
        <f t="shared" si="28"/>
        <v>0</v>
      </c>
      <c r="AH26" s="368">
        <f t="shared" si="7"/>
        <v>0</v>
      </c>
      <c r="AI26" s="370">
        <f>IF((D26&lt;&gt;""),VLOOKUP(D26,Data!$E$36:$H$53,4),)</f>
        <v>0</v>
      </c>
      <c r="AJ26" s="370">
        <f t="shared" si="8"/>
        <v>0</v>
      </c>
      <c r="AK26" s="371">
        <f t="shared" si="9"/>
        <v>0</v>
      </c>
      <c r="AL26" s="371">
        <f t="shared" si="10"/>
        <v>0</v>
      </c>
      <c r="AM26" s="372">
        <f t="shared" si="11"/>
        <v>0</v>
      </c>
      <c r="AN26" s="370">
        <f t="shared" si="12"/>
        <v>0</v>
      </c>
      <c r="AO26" s="373">
        <f t="shared" si="13"/>
        <v>0</v>
      </c>
      <c r="AP26" s="373">
        <f t="shared" si="14"/>
        <v>0</v>
      </c>
      <c r="AQ26" s="373">
        <f t="shared" si="15"/>
        <v>0</v>
      </c>
      <c r="AR26" s="373">
        <f t="shared" si="16"/>
        <v>0</v>
      </c>
      <c r="AS26" s="371">
        <f t="shared" si="17"/>
        <v>0</v>
      </c>
      <c r="AT26" s="371">
        <f t="shared" si="18"/>
        <v>0</v>
      </c>
      <c r="AU26" s="366">
        <f>IF(Data!$H$8="x",AV26,AW26)</f>
        <v>4.4333333333333318</v>
      </c>
      <c r="AV26" s="366">
        <f t="shared" si="19"/>
        <v>2.2166666666666659</v>
      </c>
      <c r="AW26" s="366">
        <f>AW25</f>
        <v>4.4333333333333318</v>
      </c>
      <c r="AX26" s="362" t="str">
        <f t="shared" si="20"/>
        <v>Zo</v>
      </c>
      <c r="AY26" s="371">
        <f>IF((R39="M7")*AND(R40&lt;&gt;""),VLOOKUP(R40,Barema!$BV$5:$BW$31,2),)</f>
        <v>0</v>
      </c>
      <c r="AZ26" s="371" t="s">
        <v>19</v>
      </c>
      <c r="BA26" s="439"/>
    </row>
    <row r="27" spans="1:53" s="378" customFormat="1" x14ac:dyDescent="0.2">
      <c r="A27" s="309"/>
      <c r="B27" s="6" t="s">
        <v>175</v>
      </c>
      <c r="C27" s="311" t="s">
        <v>499</v>
      </c>
      <c r="D27" s="312"/>
      <c r="E27" s="414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13">
        <f t="shared" si="29"/>
        <v>0</v>
      </c>
      <c r="N27" s="338">
        <f>IF(Aug!$H$48="x",AU27+Aug!$N$37,AU27)</f>
        <v>4.7499999999999982</v>
      </c>
      <c r="O27" s="337" t="str">
        <f t="shared" si="21"/>
        <v>-</v>
      </c>
      <c r="P27" s="339">
        <f t="shared" si="22"/>
        <v>4.7499999999999982</v>
      </c>
      <c r="Q27" s="312">
        <f t="shared" si="0"/>
        <v>0</v>
      </c>
      <c r="R27" s="312">
        <f t="shared" si="1"/>
        <v>0</v>
      </c>
      <c r="S27" s="312">
        <f t="shared" si="2"/>
        <v>0</v>
      </c>
      <c r="T27" s="312">
        <f t="shared" si="3"/>
        <v>0</v>
      </c>
      <c r="U27" s="313">
        <f>IF(D27="F",L27,0)</f>
        <v>0</v>
      </c>
      <c r="V27" s="313">
        <f t="shared" si="23"/>
        <v>0</v>
      </c>
      <c r="W27" s="313">
        <f t="shared" si="24"/>
        <v>0</v>
      </c>
      <c r="X27" s="312"/>
      <c r="Y27" s="310"/>
      <c r="Z27" s="310"/>
      <c r="AA27" s="315">
        <f t="shared" si="4"/>
        <v>0</v>
      </c>
      <c r="AB27" s="315">
        <f t="shared" si="5"/>
        <v>0</v>
      </c>
      <c r="AC27" s="315">
        <f t="shared" si="25"/>
        <v>0</v>
      </c>
      <c r="AD27" s="315">
        <f t="shared" si="6"/>
        <v>0</v>
      </c>
      <c r="AE27" s="316">
        <f t="shared" si="26"/>
        <v>0</v>
      </c>
      <c r="AF27" s="315">
        <f t="shared" si="27"/>
        <v>0</v>
      </c>
      <c r="AG27" s="316">
        <f t="shared" si="28"/>
        <v>0</v>
      </c>
      <c r="AH27" s="315">
        <f t="shared" si="7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11"/>
        <v>0</v>
      </c>
      <c r="AN27" s="123">
        <f t="shared" si="12"/>
        <v>0</v>
      </c>
      <c r="AO27" s="317">
        <f t="shared" si="13"/>
        <v>0</v>
      </c>
      <c r="AP27" s="317">
        <f t="shared" si="14"/>
        <v>0</v>
      </c>
      <c r="AQ27" s="317">
        <f t="shared" si="15"/>
        <v>0</v>
      </c>
      <c r="AR27" s="317">
        <f t="shared" si="16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Ma</v>
      </c>
      <c r="AY27" s="4">
        <f>IF((R39="M7bis")*AND(R40&lt;&gt;""),VLOOKUP(R40,Barema!$BY$5:$BZ$31,2),)</f>
        <v>0</v>
      </c>
      <c r="AZ27" s="4" t="s">
        <v>20</v>
      </c>
      <c r="BA27" s="102"/>
    </row>
    <row r="28" spans="1:53" s="378" customFormat="1" x14ac:dyDescent="0.2">
      <c r="A28" s="309"/>
      <c r="B28" s="6" t="s">
        <v>177</v>
      </c>
      <c r="C28" s="311" t="s">
        <v>500</v>
      </c>
      <c r="D28" s="312"/>
      <c r="E28" s="414"/>
      <c r="F28" s="274"/>
      <c r="G28" s="274"/>
      <c r="H28" s="310"/>
      <c r="I28" s="310"/>
      <c r="J28" s="336"/>
      <c r="K28" s="336"/>
      <c r="L28" s="313">
        <f>(G28-F28)+(I28-H28)+(K28-J28)+AI28+AN28</f>
        <v>0</v>
      </c>
      <c r="M28" s="313">
        <f t="shared" si="29"/>
        <v>0</v>
      </c>
      <c r="N28" s="338">
        <f>IF(Aug!$H$48="x",AU28+Aug!$N$37,AU28)</f>
        <v>5.0666666666666647</v>
      </c>
      <c r="O28" s="337" t="str">
        <f t="shared" si="21"/>
        <v>-</v>
      </c>
      <c r="P28" s="339">
        <f t="shared" si="22"/>
        <v>5.0666666666666647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5"/>
        <v>0</v>
      </c>
      <c r="AD28" s="315">
        <f t="shared" si="6"/>
        <v>0</v>
      </c>
      <c r="AE28" s="316">
        <f t="shared" si="26"/>
        <v>0</v>
      </c>
      <c r="AF28" s="315">
        <f t="shared" si="27"/>
        <v>0</v>
      </c>
      <c r="AG28" s="316">
        <f t="shared" si="28"/>
        <v>0</v>
      </c>
      <c r="AH28" s="315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Di</v>
      </c>
      <c r="AY28" s="4">
        <f>IF((R39="O1")*AND(R40&lt;&gt;""),VLOOKUP(R40,Barema!$Q$39:$R$65,2),)</f>
        <v>0</v>
      </c>
      <c r="AZ28" s="4" t="s">
        <v>21</v>
      </c>
      <c r="BA28" s="102"/>
    </row>
    <row r="29" spans="1:53" s="378" customFormat="1" x14ac:dyDescent="0.2">
      <c r="A29" s="309"/>
      <c r="B29" s="6" t="s">
        <v>179</v>
      </c>
      <c r="C29" s="311" t="s">
        <v>501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13">
        <f>M28+L29</f>
        <v>0</v>
      </c>
      <c r="N29" s="338">
        <f>IF(Aug!$H$48="x",AU29+Aug!$N$37,AU29)</f>
        <v>5.3833333333333311</v>
      </c>
      <c r="O29" s="337" t="str">
        <f t="shared" si="21"/>
        <v>-</v>
      </c>
      <c r="P29" s="339">
        <f t="shared" si="22"/>
        <v>5.3833333333333311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5"/>
        <v>0</v>
      </c>
      <c r="AD29" s="315">
        <f t="shared" si="6"/>
        <v>0</v>
      </c>
      <c r="AE29" s="316">
        <f t="shared" si="26"/>
        <v>0</v>
      </c>
      <c r="AF29" s="315">
        <f t="shared" si="27"/>
        <v>0</v>
      </c>
      <c r="AG29" s="316">
        <f t="shared" si="28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Wo</v>
      </c>
      <c r="AY29" s="4">
        <f>IF((R39="O2")*AND(R40&lt;&gt;""),VLOOKUP(R40,Barema!$T$39:$U$65,2),)</f>
        <v>0</v>
      </c>
      <c r="AZ29" s="4" t="s">
        <v>22</v>
      </c>
      <c r="BA29" s="102"/>
    </row>
    <row r="30" spans="1:53" s="378" customFormat="1" x14ac:dyDescent="0.2">
      <c r="A30" s="309"/>
      <c r="B30" s="6" t="s">
        <v>167</v>
      </c>
      <c r="C30" s="311" t="s">
        <v>502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13">
        <f>M29+L30</f>
        <v>0</v>
      </c>
      <c r="N30" s="338">
        <f>IF(Aug!$H$48="x",AU30+Aug!$N$37,AU30)</f>
        <v>5.6999999999999975</v>
      </c>
      <c r="O30" s="337" t="str">
        <f t="shared" si="21"/>
        <v>-</v>
      </c>
      <c r="P30" s="339">
        <f t="shared" si="22"/>
        <v>5.6999999999999975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5"/>
        <v>0</v>
      </c>
      <c r="AD30" s="315">
        <f t="shared" si="6"/>
        <v>0</v>
      </c>
      <c r="AE30" s="316">
        <f t="shared" si="26"/>
        <v>0</v>
      </c>
      <c r="AF30" s="315">
        <f t="shared" si="27"/>
        <v>0</v>
      </c>
      <c r="AG30" s="316">
        <f t="shared" si="28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5.6999999999999975</v>
      </c>
      <c r="AV30" s="313">
        <f t="shared" si="19"/>
        <v>2.8499999999999988</v>
      </c>
      <c r="AW30" s="313">
        <f>IF(D30="V",AW29,(AW29+"07:36"))</f>
        <v>5.6999999999999975</v>
      </c>
      <c r="AX30" s="6" t="str">
        <f t="shared" si="20"/>
        <v>Do</v>
      </c>
      <c r="AY30" s="4">
        <f>IF((R39="O2ir")*AND(R40&lt;&gt;""),VLOOKUP(R40,Barema!$AR$39:$AS$65,2),)</f>
        <v>0</v>
      </c>
      <c r="AZ30" s="4" t="s">
        <v>30</v>
      </c>
      <c r="BA30" s="102"/>
    </row>
    <row r="31" spans="1:53" s="378" customFormat="1" x14ac:dyDescent="0.2">
      <c r="A31" s="309"/>
      <c r="B31" s="6" t="s">
        <v>169</v>
      </c>
      <c r="C31" s="311" t="s">
        <v>503</v>
      </c>
      <c r="D31" s="312"/>
      <c r="E31" s="414"/>
      <c r="F31" s="274"/>
      <c r="G31" s="274"/>
      <c r="H31" s="310"/>
      <c r="I31" s="310"/>
      <c r="J31" s="336"/>
      <c r="K31" s="336"/>
      <c r="L31" s="313">
        <f>(G31-F31)+(I31-H31)+(K31-J31)+AI31+AN31</f>
        <v>0</v>
      </c>
      <c r="M31" s="313">
        <f t="shared" si="29"/>
        <v>0</v>
      </c>
      <c r="N31" s="338">
        <f>IF(Aug!$H$48="x",AU31+Aug!$N$37,AU31)</f>
        <v>6.0166666666666639</v>
      </c>
      <c r="O31" s="337" t="str">
        <f t="shared" si="21"/>
        <v>-</v>
      </c>
      <c r="P31" s="339">
        <f t="shared" si="22"/>
        <v>6.0166666666666639</v>
      </c>
      <c r="Q31" s="312">
        <f t="shared" si="0"/>
        <v>0</v>
      </c>
      <c r="R31" s="312">
        <f t="shared" si="1"/>
        <v>0</v>
      </c>
      <c r="S31" s="312">
        <f t="shared" si="2"/>
        <v>0</v>
      </c>
      <c r="T31" s="312">
        <f t="shared" si="3"/>
        <v>0</v>
      </c>
      <c r="U31" s="313">
        <f>IF(D31="F",L31,0)</f>
        <v>0</v>
      </c>
      <c r="V31" s="313">
        <f t="shared" si="23"/>
        <v>0</v>
      </c>
      <c r="W31" s="313">
        <f t="shared" si="24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5"/>
        <v>0</v>
      </c>
      <c r="AD31" s="315">
        <f t="shared" si="6"/>
        <v>0</v>
      </c>
      <c r="AE31" s="316">
        <f t="shared" si="26"/>
        <v>0</v>
      </c>
      <c r="AF31" s="315">
        <f t="shared" si="27"/>
        <v>0</v>
      </c>
      <c r="AG31" s="316">
        <f t="shared" si="28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6.0166666666666639</v>
      </c>
      <c r="AV31" s="313">
        <f t="shared" si="19"/>
        <v>3.008333333333332</v>
      </c>
      <c r="AW31" s="313">
        <f>IF(D31="V",AW30,(AW30+"07:36"))</f>
        <v>6.0166666666666639</v>
      </c>
      <c r="AX31" s="6" t="str">
        <f t="shared" si="20"/>
        <v>Vr</v>
      </c>
      <c r="AY31" s="4">
        <f>IF((R39="O3")*AND(R40&lt;&gt;""),VLOOKUP(R40,Barema!$W$39:$X$65,2),)</f>
        <v>0</v>
      </c>
      <c r="AZ31" s="4" t="s">
        <v>23</v>
      </c>
      <c r="BA31" s="102"/>
    </row>
    <row r="32" spans="1:53" s="376" customFormat="1" x14ac:dyDescent="0.2">
      <c r="A32" s="374"/>
      <c r="B32" s="362" t="s">
        <v>171</v>
      </c>
      <c r="C32" s="363" t="s">
        <v>504</v>
      </c>
      <c r="D32" s="364"/>
      <c r="E32" s="403"/>
      <c r="F32" s="365"/>
      <c r="G32" s="365"/>
      <c r="H32" s="365"/>
      <c r="I32" s="365"/>
      <c r="J32" s="375"/>
      <c r="K32" s="375"/>
      <c r="L32" s="366">
        <f>(G32-F32)+(I32-H32)+(K32-J32)</f>
        <v>0</v>
      </c>
      <c r="M32" s="366">
        <f t="shared" si="29"/>
        <v>0</v>
      </c>
      <c r="N32" s="382">
        <f>IF(Aug!$H$48="x",AU32+Aug!$N$37,AU32)</f>
        <v>6.0166666666666639</v>
      </c>
      <c r="O32" s="377" t="str">
        <f t="shared" si="21"/>
        <v>-</v>
      </c>
      <c r="P32" s="383">
        <f t="shared" si="22"/>
        <v>6.0166666666666639</v>
      </c>
      <c r="Q32" s="364">
        <f t="shared" si="0"/>
        <v>0</v>
      </c>
      <c r="R32" s="364">
        <f t="shared" si="1"/>
        <v>0</v>
      </c>
      <c r="S32" s="364">
        <f t="shared" si="2"/>
        <v>0</v>
      </c>
      <c r="T32" s="364">
        <f t="shared" si="3"/>
        <v>0</v>
      </c>
      <c r="U32" s="366">
        <f>L32</f>
        <v>0</v>
      </c>
      <c r="V32" s="366">
        <f t="shared" si="23"/>
        <v>0</v>
      </c>
      <c r="W32" s="366">
        <f t="shared" si="24"/>
        <v>0</v>
      </c>
      <c r="X32" s="364"/>
      <c r="Y32" s="365"/>
      <c r="Z32" s="365"/>
      <c r="AA32" s="368">
        <f t="shared" si="4"/>
        <v>0</v>
      </c>
      <c r="AB32" s="368">
        <f t="shared" si="5"/>
        <v>0</v>
      </c>
      <c r="AC32" s="368">
        <f t="shared" si="25"/>
        <v>0</v>
      </c>
      <c r="AD32" s="368">
        <f t="shared" si="6"/>
        <v>0</v>
      </c>
      <c r="AE32" s="369">
        <f t="shared" si="26"/>
        <v>0</v>
      </c>
      <c r="AF32" s="368">
        <f t="shared" si="27"/>
        <v>0</v>
      </c>
      <c r="AG32" s="369">
        <f t="shared" si="28"/>
        <v>0</v>
      </c>
      <c r="AH32" s="368">
        <f t="shared" si="7"/>
        <v>0</v>
      </c>
      <c r="AI32" s="370">
        <f>IF((D32&lt;&gt;""),VLOOKUP(D32,Data!$E$36:$H$53,4),)</f>
        <v>0</v>
      </c>
      <c r="AJ32" s="370">
        <f t="shared" si="8"/>
        <v>0</v>
      </c>
      <c r="AK32" s="371">
        <f t="shared" si="9"/>
        <v>0</v>
      </c>
      <c r="AL32" s="371">
        <f t="shared" si="10"/>
        <v>0</v>
      </c>
      <c r="AM32" s="372">
        <f t="shared" si="11"/>
        <v>0</v>
      </c>
      <c r="AN32" s="370">
        <f t="shared" si="12"/>
        <v>0</v>
      </c>
      <c r="AO32" s="373">
        <f t="shared" si="13"/>
        <v>0</v>
      </c>
      <c r="AP32" s="373">
        <f t="shared" si="14"/>
        <v>0</v>
      </c>
      <c r="AQ32" s="373">
        <f t="shared" si="15"/>
        <v>0</v>
      </c>
      <c r="AR32" s="373">
        <f t="shared" si="16"/>
        <v>0</v>
      </c>
      <c r="AS32" s="371">
        <f t="shared" si="17"/>
        <v>0</v>
      </c>
      <c r="AT32" s="371">
        <f t="shared" si="18"/>
        <v>0</v>
      </c>
      <c r="AU32" s="366">
        <f>IF(Data!$H$8="x",AV32,AW32)</f>
        <v>6.0166666666666639</v>
      </c>
      <c r="AV32" s="366">
        <f t="shared" si="19"/>
        <v>3.008333333333332</v>
      </c>
      <c r="AW32" s="366">
        <f>AW31</f>
        <v>6.0166666666666639</v>
      </c>
      <c r="AX32" s="362" t="str">
        <f t="shared" si="20"/>
        <v>Za</v>
      </c>
      <c r="AY32" s="371">
        <f>IF((R39="O3ir")*AND(R40&lt;&gt;""),VLOOKUP(R40,Barema!$AU$39:$AV$65,2),)</f>
        <v>0</v>
      </c>
      <c r="AZ32" s="371" t="s">
        <v>31</v>
      </c>
      <c r="BA32" s="439"/>
    </row>
    <row r="33" spans="1:54" s="376" customFormat="1" x14ac:dyDescent="0.2">
      <c r="A33" s="374"/>
      <c r="B33" s="362" t="s">
        <v>173</v>
      </c>
      <c r="C33" s="363" t="s">
        <v>505</v>
      </c>
      <c r="D33" s="364"/>
      <c r="E33" s="403"/>
      <c r="F33" s="365"/>
      <c r="G33" s="365"/>
      <c r="H33" s="365"/>
      <c r="I33" s="365"/>
      <c r="J33" s="375"/>
      <c r="K33" s="375"/>
      <c r="L33" s="366">
        <f>(G33-F33)+(I33-H33)+(K33-J33)</f>
        <v>0</v>
      </c>
      <c r="M33" s="366">
        <f t="shared" si="29"/>
        <v>0</v>
      </c>
      <c r="N33" s="382">
        <f>IF(Aug!$H$48="x",AU33+Aug!$N$37,AU33)</f>
        <v>6.0166666666666639</v>
      </c>
      <c r="O33" s="377" t="str">
        <f t="shared" si="21"/>
        <v>-</v>
      </c>
      <c r="P33" s="383">
        <f t="shared" si="22"/>
        <v>6.0166666666666639</v>
      </c>
      <c r="Q33" s="364">
        <f t="shared" si="0"/>
        <v>0</v>
      </c>
      <c r="R33" s="364">
        <f t="shared" si="1"/>
        <v>0</v>
      </c>
      <c r="S33" s="364">
        <f t="shared" si="2"/>
        <v>0</v>
      </c>
      <c r="T33" s="364">
        <f t="shared" si="3"/>
        <v>0</v>
      </c>
      <c r="U33" s="366">
        <f>L33</f>
        <v>0</v>
      </c>
      <c r="V33" s="366">
        <f t="shared" si="23"/>
        <v>0</v>
      </c>
      <c r="W33" s="366">
        <f t="shared" si="24"/>
        <v>0</v>
      </c>
      <c r="X33" s="364"/>
      <c r="Y33" s="365"/>
      <c r="Z33" s="365"/>
      <c r="AA33" s="368">
        <f t="shared" si="4"/>
        <v>0</v>
      </c>
      <c r="AB33" s="368">
        <f t="shared" si="5"/>
        <v>0</v>
      </c>
      <c r="AC33" s="368">
        <f t="shared" si="25"/>
        <v>0</v>
      </c>
      <c r="AD33" s="368">
        <f t="shared" si="6"/>
        <v>0</v>
      </c>
      <c r="AE33" s="369">
        <f t="shared" si="26"/>
        <v>0</v>
      </c>
      <c r="AF33" s="368">
        <f t="shared" si="27"/>
        <v>0</v>
      </c>
      <c r="AG33" s="369">
        <f t="shared" si="28"/>
        <v>0</v>
      </c>
      <c r="AH33" s="368">
        <f t="shared" si="7"/>
        <v>0</v>
      </c>
      <c r="AI33" s="370">
        <f>IF((D33&lt;&gt;""),VLOOKUP(D33,Data!$E$36:$H$53,4),)</f>
        <v>0</v>
      </c>
      <c r="AJ33" s="370">
        <f t="shared" si="8"/>
        <v>0</v>
      </c>
      <c r="AK33" s="371">
        <f t="shared" si="9"/>
        <v>0</v>
      </c>
      <c r="AL33" s="371">
        <f t="shared" si="10"/>
        <v>0</v>
      </c>
      <c r="AM33" s="372">
        <f t="shared" si="11"/>
        <v>0</v>
      </c>
      <c r="AN33" s="370">
        <f t="shared" si="12"/>
        <v>0</v>
      </c>
      <c r="AO33" s="373">
        <f t="shared" si="13"/>
        <v>0</v>
      </c>
      <c r="AP33" s="373">
        <f t="shared" si="14"/>
        <v>0</v>
      </c>
      <c r="AQ33" s="373">
        <f t="shared" si="15"/>
        <v>0</v>
      </c>
      <c r="AR33" s="373">
        <f t="shared" si="16"/>
        <v>0</v>
      </c>
      <c r="AS33" s="371">
        <f t="shared" si="17"/>
        <v>0</v>
      </c>
      <c r="AT33" s="371">
        <f t="shared" si="18"/>
        <v>0</v>
      </c>
      <c r="AU33" s="366">
        <f>IF(Data!$H$8="x",AV33,AW33)</f>
        <v>6.0166666666666639</v>
      </c>
      <c r="AV33" s="366">
        <f t="shared" si="19"/>
        <v>3.008333333333332</v>
      </c>
      <c r="AW33" s="366">
        <f>AW32</f>
        <v>6.0166666666666639</v>
      </c>
      <c r="AX33" s="362" t="str">
        <f t="shared" si="20"/>
        <v>Zo</v>
      </c>
      <c r="AY33" s="371">
        <f>IF((R39="O4")*AND(R40&lt;&gt;""),VLOOKUP(R40,Barema!$Z$39:$AA$65,2),)</f>
        <v>0</v>
      </c>
      <c r="AZ33" s="371" t="s">
        <v>24</v>
      </c>
      <c r="BA33" s="439"/>
    </row>
    <row r="34" spans="1:54" s="378" customFormat="1" x14ac:dyDescent="0.2">
      <c r="A34" s="309"/>
      <c r="B34" s="6" t="s">
        <v>175</v>
      </c>
      <c r="C34" s="311" t="s">
        <v>506</v>
      </c>
      <c r="D34" s="312"/>
      <c r="E34" s="414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13">
        <f t="shared" si="29"/>
        <v>0</v>
      </c>
      <c r="N34" s="338">
        <f>IF(Aug!$H$48="x",AU34+Aug!$N$37,AU34)</f>
        <v>6.3333333333333304</v>
      </c>
      <c r="O34" s="337" t="str">
        <f t="shared" si="21"/>
        <v>-</v>
      </c>
      <c r="P34" s="339">
        <f t="shared" si="22"/>
        <v>6.3333333333333304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13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5"/>
        <v>0</v>
      </c>
      <c r="AD34" s="315">
        <f t="shared" si="6"/>
        <v>0</v>
      </c>
      <c r="AE34" s="316">
        <f t="shared" si="26"/>
        <v>0</v>
      </c>
      <c r="AF34" s="315">
        <f t="shared" si="27"/>
        <v>0</v>
      </c>
      <c r="AG34" s="316">
        <f t="shared" si="28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Ma</v>
      </c>
      <c r="AY34" s="4">
        <f>IF((R39="O4bis")*AND(R40&lt;&gt;""),VLOOKUP(R40,Barema!$BG$39:$BH$65,2),)</f>
        <v>0</v>
      </c>
      <c r="AZ34" s="4" t="s">
        <v>35</v>
      </c>
      <c r="BA34" s="102"/>
    </row>
    <row r="35" spans="1:54" s="378" customFormat="1" x14ac:dyDescent="0.2">
      <c r="A35" s="309"/>
      <c r="B35" s="6" t="s">
        <v>177</v>
      </c>
      <c r="C35" s="311" t="s">
        <v>507</v>
      </c>
      <c r="D35" s="312"/>
      <c r="E35" s="414"/>
      <c r="F35" s="274"/>
      <c r="G35" s="274"/>
      <c r="H35" s="310"/>
      <c r="I35" s="310"/>
      <c r="J35" s="336"/>
      <c r="K35" s="336"/>
      <c r="L35" s="313">
        <f>(G35-F35)+(I35-H35)+(K35-J35)+AI35+AN35</f>
        <v>0</v>
      </c>
      <c r="M35" s="313">
        <f t="shared" si="29"/>
        <v>0</v>
      </c>
      <c r="N35" s="338">
        <f>IF(Aug!$H$48="x",AU35+Aug!$N$37,AU35)</f>
        <v>6.6499999999999968</v>
      </c>
      <c r="O35" s="337" t="str">
        <f t="shared" si="21"/>
        <v>-</v>
      </c>
      <c r="P35" s="339">
        <f t="shared" si="22"/>
        <v>6.6499999999999968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13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5"/>
        <v>0</v>
      </c>
      <c r="AD35" s="315">
        <f t="shared" si="6"/>
        <v>0</v>
      </c>
      <c r="AE35" s="316">
        <f t="shared" si="26"/>
        <v>0</v>
      </c>
      <c r="AF35" s="315">
        <f t="shared" si="27"/>
        <v>0</v>
      </c>
      <c r="AG35" s="316">
        <f t="shared" si="28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Di</v>
      </c>
      <c r="AY35" s="4">
        <f>IF((R39="O4bis-ir")*AND(R40&lt;&gt;""),VLOOKUP(R40,Barema!$AO$39:$AP$65,2),)</f>
        <v>0</v>
      </c>
      <c r="AZ35" s="4" t="s">
        <v>29</v>
      </c>
      <c r="BA35" s="102"/>
    </row>
    <row r="36" spans="1:54" s="378" customFormat="1" x14ac:dyDescent="0.2">
      <c r="A36" s="309"/>
      <c r="B36" s="6" t="s">
        <v>179</v>
      </c>
      <c r="C36" s="311" t="s">
        <v>508</v>
      </c>
      <c r="D36" s="312"/>
      <c r="E36" s="312"/>
      <c r="F36" s="274"/>
      <c r="G36" s="274"/>
      <c r="H36" s="310"/>
      <c r="I36" s="310"/>
      <c r="J36" s="336"/>
      <c r="K36" s="336"/>
      <c r="L36" s="313">
        <f>(G36-F36)+(I36-H36)+(K36-J36)+AI36+AN36</f>
        <v>0</v>
      </c>
      <c r="M36" s="313">
        <f>M35+L36</f>
        <v>0</v>
      </c>
      <c r="N36" s="338">
        <f>IF(Aug!$H$48="x",AU36+Aug!$N$37,AU36)</f>
        <v>6.9666666666666632</v>
      </c>
      <c r="O36" s="337" t="str">
        <f t="shared" si="21"/>
        <v>-</v>
      </c>
      <c r="P36" s="339">
        <f t="shared" si="22"/>
        <v>6.9666666666666632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13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5"/>
        <v>0</v>
      </c>
      <c r="AD36" s="315">
        <f t="shared" si="6"/>
        <v>0</v>
      </c>
      <c r="AE36" s="316">
        <f t="shared" si="26"/>
        <v>0</v>
      </c>
      <c r="AF36" s="315">
        <f t="shared" si="27"/>
        <v>0</v>
      </c>
      <c r="AG36" s="316">
        <f t="shared" si="28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Wo</v>
      </c>
      <c r="AY36" s="4">
        <f>IF((R39="O4ir")*AND(R40&lt;&gt;""),VLOOKUP(R40,Barema!$AX$39:$AY$65,2),)</f>
        <v>0</v>
      </c>
      <c r="AZ36" s="4" t="s">
        <v>32</v>
      </c>
      <c r="BA36" s="102"/>
    </row>
    <row r="37" spans="1:54" x14ac:dyDescent="0.2">
      <c r="AB37" s="123">
        <f t="shared" ref="AB37:AI37" si="30">SUM(AA7:AA36)</f>
        <v>0</v>
      </c>
      <c r="AC37" s="123">
        <f t="shared" si="30"/>
        <v>0</v>
      </c>
      <c r="AD37" s="123">
        <f t="shared" si="30"/>
        <v>0</v>
      </c>
      <c r="AE37" s="123">
        <f t="shared" si="30"/>
        <v>0</v>
      </c>
      <c r="AF37" s="123">
        <f t="shared" si="30"/>
        <v>0</v>
      </c>
      <c r="AG37" s="123">
        <f t="shared" si="30"/>
        <v>0</v>
      </c>
      <c r="AH37" s="123">
        <f t="shared" si="30"/>
        <v>0</v>
      </c>
      <c r="AI37" s="123">
        <f t="shared" si="30"/>
        <v>0</v>
      </c>
      <c r="AK37" s="123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52"/>
      <c r="AW37" s="152"/>
      <c r="AY37" s="4">
        <f>IF((R39="O5")*AND(R40&lt;&gt;""),VLOOKUP(R40,Barema!$AC$39:$AD$65,2),)</f>
        <v>0</v>
      </c>
      <c r="AZ37" s="4" t="s">
        <v>25</v>
      </c>
      <c r="BB37" s="4"/>
    </row>
    <row r="38" spans="1:54" x14ac:dyDescent="0.2">
      <c r="C38" s="166" t="s">
        <v>92</v>
      </c>
      <c r="D38" s="24"/>
      <c r="E38" s="24"/>
      <c r="F38" s="24"/>
      <c r="G38" s="24"/>
      <c r="H38" s="24"/>
      <c r="W38" s="70"/>
      <c r="X38" s="70"/>
      <c r="Z38" s="74" t="s">
        <v>205</v>
      </c>
      <c r="AA38" s="260" t="s">
        <v>206</v>
      </c>
      <c r="AB38" s="123">
        <f t="shared" ref="AB38:AI38" si="31">IF((MINUTE(AB37)&gt;=30),(AB37+0.041666667),AB37)</f>
        <v>0</v>
      </c>
      <c r="AC38" s="123">
        <f t="shared" si="31"/>
        <v>0</v>
      </c>
      <c r="AD38" s="123">
        <f t="shared" si="31"/>
        <v>0</v>
      </c>
      <c r="AE38" s="123">
        <f t="shared" si="31"/>
        <v>0</v>
      </c>
      <c r="AF38" s="123">
        <f t="shared" si="31"/>
        <v>0</v>
      </c>
      <c r="AG38" s="123">
        <f t="shared" si="31"/>
        <v>0</v>
      </c>
      <c r="AH38" s="123">
        <f t="shared" si="31"/>
        <v>0</v>
      </c>
      <c r="AI38" s="123">
        <f t="shared" si="31"/>
        <v>0</v>
      </c>
      <c r="AK38" s="123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IF((R39="O5ir")*AND(R40&lt;&gt;""),VLOOKUP(R40,Barema!$BA$39:$BB$65,2),)</f>
        <v>0</v>
      </c>
      <c r="AZ38" s="4" t="s">
        <v>33</v>
      </c>
      <c r="BB38" s="4"/>
    </row>
    <row r="39" spans="1:54" x14ac:dyDescent="0.2">
      <c r="C39" s="42" t="s">
        <v>207</v>
      </c>
      <c r="D39" s="43"/>
      <c r="E39" s="43"/>
      <c r="F39" s="43"/>
      <c r="G39" s="44"/>
      <c r="H39" s="28">
        <f>Aug!$H$45</f>
        <v>36</v>
      </c>
      <c r="J39" s="9" t="s">
        <v>509</v>
      </c>
      <c r="K39" s="10"/>
      <c r="L39" s="11"/>
      <c r="M39" s="10"/>
      <c r="N39" s="18"/>
      <c r="O39" s="11" t="s">
        <v>510</v>
      </c>
      <c r="P39" s="11"/>
      <c r="Q39" s="11"/>
      <c r="R39" s="441" t="s">
        <v>12</v>
      </c>
      <c r="S39" s="442"/>
      <c r="T39" s="319" t="s">
        <v>696</v>
      </c>
      <c r="U39" s="320"/>
      <c r="V39" s="321"/>
      <c r="W39" s="107"/>
      <c r="X39" s="1"/>
      <c r="Z39" s="132">
        <v>2.1223000000000001</v>
      </c>
      <c r="AA39" s="261">
        <f>Z39</f>
        <v>2.1223000000000001</v>
      </c>
      <c r="AB39" s="123">
        <f t="shared" ref="AB39:AI39" si="32">IF(MINUTE(AB38)&gt;0,FLOOR(AB38,0.041666667),AB38)</f>
        <v>0</v>
      </c>
      <c r="AC39" s="123">
        <f t="shared" si="32"/>
        <v>0</v>
      </c>
      <c r="AD39" s="123">
        <f t="shared" si="32"/>
        <v>0</v>
      </c>
      <c r="AE39" s="123">
        <f t="shared" si="32"/>
        <v>0</v>
      </c>
      <c r="AF39" s="123">
        <f t="shared" si="32"/>
        <v>0</v>
      </c>
      <c r="AG39" s="123">
        <f t="shared" si="32"/>
        <v>0</v>
      </c>
      <c r="AH39" s="123">
        <f t="shared" si="32"/>
        <v>0</v>
      </c>
      <c r="AI39" s="123">
        <f t="shared" si="32"/>
        <v>0</v>
      </c>
      <c r="AK39" s="140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IF((R39="O6")*AND(R40&lt;&gt;""),VLOOKUP(R40,Barema!$AF$39:$AG$65,2),)</f>
        <v>0</v>
      </c>
      <c r="AZ39" s="4" t="s">
        <v>26</v>
      </c>
      <c r="BB39" s="4"/>
    </row>
    <row r="40" spans="1:54" ht="13.5" thickBot="1" x14ac:dyDescent="0.25">
      <c r="C40" s="42" t="s">
        <v>210</v>
      </c>
      <c r="D40" s="43"/>
      <c r="E40" s="43"/>
      <c r="F40" s="43"/>
      <c r="G40" s="144" t="s">
        <v>211</v>
      </c>
      <c r="H40" s="81">
        <v>0</v>
      </c>
      <c r="J40" s="12" t="s">
        <v>666</v>
      </c>
      <c r="K40" s="13"/>
      <c r="L40" s="14"/>
      <c r="M40" s="13"/>
      <c r="N40" s="13"/>
      <c r="O40" s="13"/>
      <c r="P40" s="14"/>
      <c r="Q40" s="14"/>
      <c r="R40" s="443">
        <v>22</v>
      </c>
      <c r="S40" s="444"/>
      <c r="T40" s="328">
        <f>AY55</f>
        <v>30938.240000000002</v>
      </c>
      <c r="U40" s="330"/>
      <c r="V40" s="331"/>
      <c r="W40" s="318"/>
      <c r="X40" s="318"/>
      <c r="Z40" s="1"/>
      <c r="AA40" s="1"/>
      <c r="AB40" s="4">
        <f>COUNTIF(AK7:AK36,"1")</f>
        <v>0</v>
      </c>
      <c r="AC40" s="4">
        <v>0.625</v>
      </c>
      <c r="AD40" s="8" t="s">
        <v>347</v>
      </c>
      <c r="AG40" s="88"/>
      <c r="AH40" s="10" t="s">
        <v>217</v>
      </c>
      <c r="AI40" s="10"/>
      <c r="AJ40" s="89"/>
      <c r="AK40" s="10" t="s">
        <v>219</v>
      </c>
      <c r="AL40" s="10"/>
      <c r="AM40" s="18"/>
      <c r="AN40" s="89"/>
      <c r="AP40" s="4"/>
      <c r="AQ40" s="4"/>
      <c r="AR40" s="4"/>
      <c r="AS40" s="4"/>
      <c r="AT40" s="4"/>
      <c r="AU40" s="4"/>
      <c r="AY40" s="4">
        <f>IF((R39="O6ir")*AND(R40&lt;&gt;""),VLOOKUP(R40,Barema!$BD$39:$BE$65,2),)</f>
        <v>0</v>
      </c>
      <c r="AZ40" s="4" t="s">
        <v>34</v>
      </c>
      <c r="BB40" s="4"/>
    </row>
    <row r="41" spans="1:54" ht="13.5" thickTop="1" x14ac:dyDescent="0.2">
      <c r="C41" s="308" t="s">
        <v>695</v>
      </c>
      <c r="D41" s="146"/>
      <c r="E41" s="146"/>
      <c r="F41" s="100"/>
      <c r="G41" s="147" t="s">
        <v>211</v>
      </c>
      <c r="H41" s="79">
        <f>AN38</f>
        <v>0</v>
      </c>
      <c r="I41" s="32"/>
      <c r="J41" s="15" t="s">
        <v>213</v>
      </c>
      <c r="K41" s="4"/>
      <c r="L41" s="63"/>
      <c r="M41" s="275">
        <f>AK39</f>
        <v>0</v>
      </c>
      <c r="N41" s="4" t="s">
        <v>214</v>
      </c>
      <c r="O41" s="54"/>
      <c r="P41" s="1"/>
      <c r="Q41" s="1"/>
      <c r="R41" s="1"/>
      <c r="S41" s="15"/>
      <c r="T41" s="54"/>
      <c r="U41" s="325">
        <f>(M41*AK42/0.041666667)</f>
        <v>0</v>
      </c>
      <c r="V41" s="19" t="s">
        <v>215</v>
      </c>
      <c r="W41" s="106"/>
      <c r="X41" s="1"/>
      <c r="Y41" s="134" t="s">
        <v>216</v>
      </c>
      <c r="Z41" s="135"/>
      <c r="AB41" s="4">
        <f>COUNTIF(AK7:AK36,"2")</f>
        <v>0</v>
      </c>
      <c r="AG41" s="15"/>
      <c r="AH41" s="4">
        <f>X40*1.2434/1850</f>
        <v>0</v>
      </c>
      <c r="AI41" s="4"/>
      <c r="AJ41" s="33"/>
      <c r="AK41" s="4">
        <f>T40*AA39/1850</f>
        <v>35.492014460540538</v>
      </c>
      <c r="AL41" s="4" t="s">
        <v>218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IF((R39="O7")*AND(R40&lt;&gt;""),VLOOKUP(R40,Barema!$AI$39:$AJ$68,2),)</f>
        <v>0</v>
      </c>
      <c r="AZ41" s="4" t="s">
        <v>27</v>
      </c>
      <c r="BB41" s="2"/>
    </row>
    <row r="42" spans="1:54" x14ac:dyDescent="0.2">
      <c r="C42" s="42" t="s">
        <v>220</v>
      </c>
      <c r="D42" s="43"/>
      <c r="E42" s="43"/>
      <c r="F42" s="43"/>
      <c r="G42" s="144" t="s">
        <v>221</v>
      </c>
      <c r="H42" s="28">
        <f>AB40+(AB41/2)+(AB42/2)</f>
        <v>0</v>
      </c>
      <c r="J42" s="15" t="s">
        <v>224</v>
      </c>
      <c r="K42" s="4"/>
      <c r="L42" s="4"/>
      <c r="M42" s="141">
        <f>AF39</f>
        <v>0</v>
      </c>
      <c r="N42" s="4" t="s">
        <v>214</v>
      </c>
      <c r="O42" s="4"/>
      <c r="P42" s="4"/>
      <c r="Q42" s="4"/>
      <c r="R42" s="4"/>
      <c r="S42" s="15"/>
      <c r="T42" s="54"/>
      <c r="U42" s="325">
        <f>(M42*AK50/0.041666667)</f>
        <v>0</v>
      </c>
      <c r="V42" s="19" t="s">
        <v>215</v>
      </c>
      <c r="W42" s="106"/>
      <c r="X42" s="1"/>
      <c r="Y42" s="136" t="s">
        <v>222</v>
      </c>
      <c r="Z42" s="137"/>
      <c r="AB42" s="4">
        <f>COUNTIF(AK7:AK36,"7")</f>
        <v>0</v>
      </c>
      <c r="AC42" s="4"/>
      <c r="AF42" s="4" t="e">
        <f>M44*78</f>
        <v>#VALUE!</v>
      </c>
      <c r="AG42" s="198" t="s">
        <v>122</v>
      </c>
      <c r="AH42" s="4">
        <f>AH41*0.9645*AK48/100*1.45</f>
        <v>0</v>
      </c>
      <c r="AI42" s="4"/>
      <c r="AJ42" s="33"/>
      <c r="AK42" s="131">
        <f>(AK41*0.9645)*AK48/100</f>
        <v>15.917902295443975</v>
      </c>
      <c r="AL42" s="17" t="s">
        <v>223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IF((R39="O8")*AND(R40&lt;&gt;""),VLOOKUP(R40,Barema!$AL$39:$AM$68,2),)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228</v>
      </c>
      <c r="K43" s="4"/>
      <c r="L43" s="4"/>
      <c r="M43" s="141">
        <f>AG39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9">
        <f>AK47</f>
        <v>53.5</v>
      </c>
      <c r="Z43" s="138"/>
      <c r="AB43" s="4" t="s">
        <v>348</v>
      </c>
      <c r="AC43" s="4"/>
      <c r="AF43" s="4" t="e">
        <f>M45*23</f>
        <v>#VALUE!</v>
      </c>
      <c r="AG43" s="16" t="s">
        <v>225</v>
      </c>
      <c r="AH43" s="17">
        <f>(W40*1.2434/1850)*0.009645*AK48</f>
        <v>0</v>
      </c>
      <c r="AI43" s="17"/>
      <c r="AJ43" s="40"/>
      <c r="AK43" s="4">
        <v>1.24</v>
      </c>
      <c r="AL43" s="4" t="s">
        <v>226</v>
      </c>
      <c r="AP43" s="4"/>
      <c r="AQ43" s="4"/>
      <c r="AR43" s="4"/>
      <c r="AS43" s="4"/>
      <c r="AT43" s="4"/>
      <c r="AU43" s="4"/>
      <c r="AY43" s="17">
        <f>IF((R39="HAU4")*AND(R40&lt;&gt;""),VLOOKUP(R40,Barema!$BJ$39:$BK$65,2),)</f>
        <v>0</v>
      </c>
      <c r="AZ43" s="17" t="s">
        <v>705</v>
      </c>
      <c r="BB43" s="2"/>
    </row>
    <row r="44" spans="1:54" x14ac:dyDescent="0.2">
      <c r="C44" s="48" t="s">
        <v>227</v>
      </c>
      <c r="D44" s="49"/>
      <c r="E44" s="49"/>
      <c r="F44" s="49"/>
      <c r="G44" s="50"/>
      <c r="H44" s="52">
        <f>H39-H42+H40+H41</f>
        <v>36</v>
      </c>
      <c r="J44" s="15" t="str">
        <f>IF(Jan!AH49=2,"Middagmaal","")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"/>
      <c r="S44" s="15"/>
      <c r="T44" s="54"/>
      <c r="U44" s="325" t="str">
        <f>IF(Jan!AH49=2,(M44*AK44*AA39+(R44*AA39*6.2)),"")</f>
        <v/>
      </c>
      <c r="V44" s="19" t="str">
        <f>IF(Jan!AH49=2,"€","")</f>
        <v/>
      </c>
      <c r="W44" s="106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161</v>
      </c>
      <c r="AY44" s="17">
        <f>IF((R39="BAGP1")*AND(R40&lt;&gt;""),VLOOKUP(R40,Barema!$Q$5:$R$31,2),)</f>
        <v>0</v>
      </c>
      <c r="AZ44" s="17" t="s">
        <v>710</v>
      </c>
      <c r="BB44" s="2"/>
    </row>
    <row r="45" spans="1:54" x14ac:dyDescent="0.2">
      <c r="J45" s="15" t="str">
        <f>IF(Jan!AH49=2,"Avondmaal","")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IF(Jan!AH49=2,(M45*AK45*AA39+(R45*AA39*6.2)),"")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162</v>
      </c>
      <c r="AY45" s="17">
        <f>IF((R39="BAGP2")*AND(R40&lt;&gt;""),VLOOKUP(R40,Barema!$T$5:$U$31,2),)</f>
        <v>0</v>
      </c>
      <c r="AZ45" s="4" t="s">
        <v>711</v>
      </c>
      <c r="BB45" s="2"/>
    </row>
    <row r="46" spans="1:54" x14ac:dyDescent="0.2">
      <c r="C46" s="166" t="s">
        <v>230</v>
      </c>
      <c r="F46" s="4"/>
      <c r="G46" s="74" t="s">
        <v>231</v>
      </c>
      <c r="H46" s="74" t="s">
        <v>232</v>
      </c>
      <c r="J46" s="15" t="str">
        <f>IF(Jan!AH49=2,"Nachtmaal","")</f>
        <v/>
      </c>
      <c r="K46" s="4"/>
      <c r="L46" s="4"/>
      <c r="M46" s="65" t="str">
        <f>IF(Jan!AH49=2,COUNTIF(S7:S36,"1"),"")</f>
        <v/>
      </c>
      <c r="N46" s="4"/>
      <c r="O46" s="4"/>
      <c r="P46" s="4"/>
      <c r="Q46" s="4"/>
      <c r="R46" s="1"/>
      <c r="S46" s="15"/>
      <c r="T46" s="80"/>
      <c r="U46" s="325" t="str">
        <f>IF(Jan!AH49=2,(M46*AK46*AA39+(R46*AA39*3.48)),"")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233</v>
      </c>
      <c r="AY46" s="17">
        <f>IF((R39="BAGP3")*AND(R40&lt;&gt;""),VLOOKUP(R40,Barema!$W$5:$X$31,2),)</f>
        <v>0</v>
      </c>
      <c r="AZ46" s="4" t="s">
        <v>712</v>
      </c>
      <c r="BB46" s="2"/>
    </row>
    <row r="47" spans="1:54" x14ac:dyDescent="0.2">
      <c r="C47" s="24" t="s">
        <v>234</v>
      </c>
      <c r="G47" s="92"/>
      <c r="H47" s="92" t="s">
        <v>109</v>
      </c>
      <c r="J47" s="15" t="str">
        <f>IF(Jan!AH49=2,"Morgenmaal","")</f>
        <v/>
      </c>
      <c r="K47" s="4"/>
      <c r="L47" s="4"/>
      <c r="M47" s="65" t="str">
        <f>IF(Jan!AH49=2,COUNTIF(T7:T36,"1"),"")</f>
        <v/>
      </c>
      <c r="N47" s="4"/>
      <c r="O47" s="4"/>
      <c r="P47" s="4"/>
      <c r="Q47" s="4"/>
      <c r="R47" s="1"/>
      <c r="S47" s="15"/>
      <c r="T47" s="80"/>
      <c r="U47" s="325" t="str">
        <f>IF(Jan!AH49=2,(M47*AK43*AA39+(R47*AA39*2.48)),"")</f>
        <v/>
      </c>
      <c r="V47" s="19" t="str">
        <f>IF(Jan!AH49=2,"€","")</f>
        <v/>
      </c>
      <c r="W47" s="106"/>
      <c r="X47" s="1"/>
      <c r="AB47" s="4"/>
      <c r="AG47" s="4"/>
      <c r="AH47" s="4"/>
      <c r="AI47" s="4"/>
      <c r="AK47" s="4">
        <f>VLOOKUP(AS47,Data!$F$80:$H$91,3)</f>
        <v>53.5</v>
      </c>
      <c r="AL47" s="4" t="s">
        <v>235</v>
      </c>
      <c r="AP47" s="256">
        <f>T40*Z39</f>
        <v>65660.226752000002</v>
      </c>
      <c r="AQ47" s="2">
        <f>AP47*0.075</f>
        <v>4924.5170064000004</v>
      </c>
      <c r="AR47" s="2">
        <f>AP47*0.0355</f>
        <v>2330.9380496959998</v>
      </c>
      <c r="AS47" s="142">
        <f>AP47-AQ47-AR47</f>
        <v>58404.771695904004</v>
      </c>
      <c r="AY47" s="17">
        <f>IF((R39="BAGP4")*AND(R40&lt;&gt;""),VLOOKUP(R40,Barema!$BJ$39:$BK$65,2),)</f>
        <v>0</v>
      </c>
      <c r="AZ47" s="4" t="s">
        <v>713</v>
      </c>
      <c r="BB47" s="2"/>
    </row>
    <row r="48" spans="1:54" x14ac:dyDescent="0.2">
      <c r="J48" s="15" t="s">
        <v>238</v>
      </c>
      <c r="K48" s="4"/>
      <c r="L48" s="4"/>
      <c r="M48" s="141">
        <f>IF(AND(O36="+",G47="x",AB44&gt;=0),AB48,0)</f>
        <v>0</v>
      </c>
      <c r="N48" s="4" t="s">
        <v>214</v>
      </c>
      <c r="O48" s="54"/>
      <c r="P48" s="1"/>
      <c r="Q48" s="1"/>
      <c r="R48" s="1"/>
      <c r="S48" s="15"/>
      <c r="T48" s="54"/>
      <c r="U48" s="325">
        <f>(M48*AK42/0.041666667)</f>
        <v>0</v>
      </c>
      <c r="V48" s="19" t="s">
        <v>215</v>
      </c>
      <c r="W48" s="106"/>
      <c r="X48" s="1"/>
      <c r="AB48" s="4">
        <f>IF(MINUTE(AB44)&gt;0,FLOOR(AE44,0.041666667),AE44)</f>
        <v>0</v>
      </c>
      <c r="AG48" s="4"/>
      <c r="AH48" s="4"/>
      <c r="AI48" s="4"/>
      <c r="AK48" s="4">
        <f>100-AK47</f>
        <v>46.5</v>
      </c>
      <c r="AL48" s="4" t="s">
        <v>236</v>
      </c>
      <c r="AY48" s="17">
        <f>IF((R39="BASP1")*AND(R40&lt;&gt;""),VLOOKUP(R40,Barema!$BM$39:$BN$69,2),)</f>
        <v>0</v>
      </c>
      <c r="AZ48" s="4" t="s">
        <v>706</v>
      </c>
      <c r="BB48" s="2"/>
    </row>
    <row r="49" spans="3:54" x14ac:dyDescent="0.2">
      <c r="C49" s="4" t="s">
        <v>237</v>
      </c>
      <c r="F49" s="4"/>
      <c r="G49" s="4"/>
      <c r="J49" s="15" t="s">
        <v>240</v>
      </c>
      <c r="K49" s="4"/>
      <c r="L49" s="4"/>
      <c r="M49" s="118">
        <f>AM37</f>
        <v>0</v>
      </c>
      <c r="N49" s="4" t="s">
        <v>241</v>
      </c>
      <c r="O49" s="80"/>
      <c r="P49" s="1"/>
      <c r="Q49" s="1"/>
      <c r="R49" s="1"/>
      <c r="S49" s="15"/>
      <c r="T49" s="80"/>
      <c r="U49" s="325">
        <f>AM38</f>
        <v>0</v>
      </c>
      <c r="V49" s="19" t="s">
        <v>215</v>
      </c>
      <c r="W49" s="106"/>
      <c r="X49" s="1"/>
      <c r="AG49" s="4"/>
      <c r="AH49" s="4"/>
      <c r="AI49" s="4"/>
      <c r="AY49" s="17">
        <f>IF((R39="BASP2")*AND(R40&lt;&gt;""),VLOOKUP(R40,Barema!$BP$39:$BQ$69,2),)</f>
        <v>0</v>
      </c>
      <c r="AZ49" s="4" t="s">
        <v>707</v>
      </c>
      <c r="BB49" s="2"/>
    </row>
    <row r="50" spans="3:54" x14ac:dyDescent="0.2">
      <c r="C50" s="4" t="s">
        <v>239</v>
      </c>
      <c r="F50" s="4"/>
      <c r="G50" s="133">
        <v>0</v>
      </c>
      <c r="J50" s="15" t="s">
        <v>244</v>
      </c>
      <c r="K50" s="1"/>
      <c r="L50" s="4"/>
      <c r="M50" s="65">
        <f>SUM(X7:X36)</f>
        <v>0</v>
      </c>
      <c r="N50" s="4" t="s">
        <v>245</v>
      </c>
      <c r="O50" s="4"/>
      <c r="P50" s="4"/>
      <c r="Q50" s="4"/>
      <c r="R50" s="4"/>
      <c r="S50" s="15"/>
      <c r="T50" s="120"/>
      <c r="U50" s="325">
        <f>(M50*Data!$S$13)</f>
        <v>0</v>
      </c>
      <c r="V50" s="19" t="s">
        <v>215</v>
      </c>
      <c r="W50" s="106"/>
      <c r="X50" s="1"/>
      <c r="AG50" s="4" t="s">
        <v>153</v>
      </c>
      <c r="AH50" s="4">
        <f>AH41*0.00325*0.9645*AK48</f>
        <v>0</v>
      </c>
      <c r="AI50" s="4"/>
      <c r="AK50" s="62">
        <f>AK42/100*20</f>
        <v>3.1835804590887951</v>
      </c>
      <c r="AL50" s="4" t="s">
        <v>242</v>
      </c>
      <c r="AY50" s="17">
        <f>IF((R39="BASP3")*AND(R40&lt;&gt;""),VLOOKUP(R40,Barema!$BS$39:$BT$69,2),)</f>
        <v>0</v>
      </c>
      <c r="AZ50" s="4" t="s">
        <v>708</v>
      </c>
      <c r="BB50" s="2"/>
    </row>
    <row r="51" spans="3:54" x14ac:dyDescent="0.2">
      <c r="C51" s="166" t="s">
        <v>243</v>
      </c>
      <c r="J51" s="15" t="s">
        <v>247</v>
      </c>
      <c r="K51" s="4"/>
      <c r="L51" s="4"/>
      <c r="M51" s="141">
        <f>AH53</f>
        <v>0</v>
      </c>
      <c r="N51" s="4" t="s">
        <v>214</v>
      </c>
      <c r="O51" s="4"/>
      <c r="P51" s="4"/>
      <c r="Q51" s="4"/>
      <c r="R51" s="4"/>
      <c r="S51" s="15"/>
      <c r="T51" s="80"/>
      <c r="U51" s="325">
        <f>(M51*AK53/0.041666667)</f>
        <v>0</v>
      </c>
      <c r="V51" s="19" t="s">
        <v>215</v>
      </c>
      <c r="W51" s="106"/>
      <c r="X51" s="1"/>
      <c r="AK51" s="62">
        <f>AK42/100*35</f>
        <v>5.5712658034053915</v>
      </c>
      <c r="AL51" s="4" t="s">
        <v>246</v>
      </c>
      <c r="AY51" s="17">
        <f>IF((R39="BASP4")*AND(R40&lt;&gt;""),VLOOKUP(R40,Barema!$BV$39:$BW$69,2),)</f>
        <v>0</v>
      </c>
      <c r="AZ51" s="4" t="s">
        <v>709</v>
      </c>
      <c r="BB51" s="2"/>
    </row>
    <row r="52" spans="3:54" x14ac:dyDescent="0.2">
      <c r="J52" s="15" t="s">
        <v>249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142"/>
      <c r="BB52" s="2"/>
    </row>
    <row r="53" spans="3:54" x14ac:dyDescent="0.2">
      <c r="C53" s="24" t="s">
        <v>248</v>
      </c>
      <c r="F53" s="4"/>
      <c r="G53" s="4"/>
      <c r="H53" s="4"/>
      <c r="J53" s="16" t="s">
        <v>250</v>
      </c>
      <c r="K53" s="17"/>
      <c r="L53" s="17"/>
      <c r="M53" s="203">
        <f>AU38</f>
        <v>0</v>
      </c>
      <c r="N53" s="17" t="s">
        <v>241</v>
      </c>
      <c r="O53" s="17"/>
      <c r="P53" s="17"/>
      <c r="Q53" s="17"/>
      <c r="R53" s="17"/>
      <c r="S53" s="16"/>
      <c r="T53" s="17"/>
      <c r="U53" s="326">
        <f>(M53*(2.81*AA39))/100*(100-Y43)</f>
        <v>0</v>
      </c>
      <c r="V53" s="20" t="s">
        <v>215</v>
      </c>
      <c r="W53" s="106"/>
      <c r="X53" s="1"/>
      <c r="AE53" s="78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30">
        <f>AK42/24</f>
        <v>0.66324592897683232</v>
      </c>
      <c r="AL53" s="10" t="s">
        <v>247</v>
      </c>
      <c r="AM53" s="10"/>
      <c r="AN53" s="10"/>
      <c r="AO53" s="10"/>
      <c r="AP53" s="86"/>
      <c r="BB53" s="2"/>
    </row>
    <row r="54" spans="3:54" x14ac:dyDescent="0.2">
      <c r="C54" s="24" t="s">
        <v>239</v>
      </c>
      <c r="F54" s="4"/>
      <c r="G54" s="121">
        <v>0</v>
      </c>
      <c r="H54" s="4"/>
      <c r="L54" s="70" t="s">
        <v>130</v>
      </c>
      <c r="M54" s="70"/>
      <c r="N54" s="16"/>
      <c r="O54" s="71"/>
      <c r="P54" s="64"/>
      <c r="Q54" s="64"/>
      <c r="R54" s="64"/>
      <c r="S54" s="16"/>
      <c r="T54" s="72"/>
      <c r="U54" s="326">
        <f>SUM(U41:U53)</f>
        <v>0</v>
      </c>
      <c r="V54" s="20" t="s">
        <v>215</v>
      </c>
      <c r="W54" s="106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31">
        <f>AK42/15</f>
        <v>1.0611934863629318</v>
      </c>
      <c r="AL54" s="17" t="s">
        <v>251</v>
      </c>
      <c r="AM54" s="17"/>
      <c r="AN54" s="17"/>
      <c r="AO54" s="17"/>
      <c r="AP54" s="83"/>
      <c r="BB54" s="2"/>
    </row>
    <row r="55" spans="3:54" x14ac:dyDescent="0.2">
      <c r="C55" s="166" t="s">
        <v>243</v>
      </c>
      <c r="E55" s="4"/>
      <c r="F55" s="1"/>
      <c r="G55" s="4"/>
      <c r="H55" s="4"/>
      <c r="W55" s="106"/>
      <c r="X55" s="1"/>
      <c r="AY55" s="4">
        <f>SUM(AY7:AY53)</f>
        <v>30938.240000000002</v>
      </c>
      <c r="BB55" s="2"/>
    </row>
    <row r="58" spans="3:54" x14ac:dyDescent="0.2">
      <c r="J58" s="4"/>
      <c r="K58" s="4"/>
      <c r="L58" s="4"/>
      <c r="M58" s="70"/>
      <c r="N58" s="70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70"/>
      <c r="N59" s="70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NnqMLn7W77wEgUvtk+TyGrgRctSw/3dsEbn59iX2Z18WyNaXNx1NAR6IPHLl7IReROSeXNl4fMdZTzV2xA3QqQ==" saltValue="pm+ZilciGcAocexet/ivwQ==" spinCount="100000" sheet="1" objects="1" scenarios="1"/>
  <mergeCells count="2">
    <mergeCell ref="R39:S39"/>
    <mergeCell ref="R40:S40"/>
  </mergeCells>
  <phoneticPr fontId="0" type="noConversion"/>
  <conditionalFormatting sqref="F8:G11">
    <cfRule type="timePeriod" dxfId="20" priority="1" timePeriod="lastWeek">
      <formula>AND(TODAY()-ROUNDDOWN(F8,0)&gt;=(WEEKDAY(TODAY())),TODAY()-ROUNDDOWN(F8,0)&lt;(WEEKDAY(TODAY())+7))</formula>
    </cfRule>
  </conditionalFormatting>
  <conditionalFormatting sqref="F14:G18">
    <cfRule type="timePeriod" dxfId="19" priority="6" timePeriod="lastWeek">
      <formula>AND(TODAY()-ROUNDDOWN(F14,0)&gt;=(WEEKDAY(TODAY())),TODAY()-ROUNDDOWN(F14,0)&lt;(WEEKDAY(TODAY())+7))</formula>
    </cfRule>
  </conditionalFormatting>
  <conditionalFormatting sqref="F21:G25">
    <cfRule type="timePeriod" dxfId="18" priority="5" timePeriod="lastWeek">
      <formula>AND(TODAY()-ROUNDDOWN(F21,0)&gt;=(WEEKDAY(TODAY())),TODAY()-ROUNDDOWN(F21,0)&lt;(WEEKDAY(TODAY())+7))</formula>
    </cfRule>
  </conditionalFormatting>
  <conditionalFormatting sqref="F28:G32">
    <cfRule type="timePeriod" dxfId="17" priority="4" timePeriod="lastWeek">
      <formula>AND(TODAY()-ROUNDDOWN(F28,0)&gt;=(WEEKDAY(TODAY())),TODAY()-ROUNDDOWN(F28,0)&lt;(WEEKDAY(TODAY())+7))</formula>
    </cfRule>
  </conditionalFormatting>
  <conditionalFormatting sqref="F35:G36">
    <cfRule type="timePeriod" dxfId="16" priority="3" timePeriod="lastWeek">
      <formula>AND(TODAY()-ROUNDDOWN(F35,0)&gt;=(WEEKDAY(TODAY())),TODAY()-ROUNDDOWN(F35,0)&lt;(WEEKDAY(TODAY())+7))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12"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.85546875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710937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K4" s="4"/>
      <c r="L4" s="4"/>
      <c r="M4" s="259">
        <f>Sep!$G$54</f>
        <v>0</v>
      </c>
      <c r="P4" s="4" t="s">
        <v>111</v>
      </c>
      <c r="Q4" s="4"/>
      <c r="R4" s="4"/>
      <c r="S4" s="4"/>
      <c r="T4" s="4"/>
      <c r="U4" s="122">
        <f>IF(Sep!$H$47="x",Sep!$U$4,Sep!$G$50)</f>
        <v>0</v>
      </c>
      <c r="AV4" s="58"/>
      <c r="AW4" s="58" t="s">
        <v>112</v>
      </c>
      <c r="AX4" s="123">
        <v>0</v>
      </c>
      <c r="AY4" s="123"/>
      <c r="BB4" s="2"/>
    </row>
    <row r="5" spans="1:54" x14ac:dyDescent="0.2">
      <c r="B5" s="343"/>
      <c r="C5" s="348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8" customFormat="1" x14ac:dyDescent="0.2">
      <c r="A7" s="309"/>
      <c r="B7" s="6" t="s">
        <v>167</v>
      </c>
      <c r="C7" s="415" t="s">
        <v>511</v>
      </c>
      <c r="D7" s="414"/>
      <c r="E7" s="414"/>
      <c r="F7" s="274"/>
      <c r="G7" s="274"/>
      <c r="H7" s="310"/>
      <c r="I7" s="310"/>
      <c r="J7" s="336"/>
      <c r="K7" s="336"/>
      <c r="L7" s="313">
        <f>(G7-F7)+(I7-H7)+(K7-J7)+AI7+AN7</f>
        <v>0</v>
      </c>
      <c r="M7" s="313">
        <f>IF(Sep!H47="x",L7+Sep!M36+M4,L7+M4)</f>
        <v>0</v>
      </c>
      <c r="N7" s="338">
        <f>IF(Sep!$H$47="x",AU7+Sep!$N$36,AU7)</f>
        <v>7.2833333333333297</v>
      </c>
      <c r="O7" s="337" t="str">
        <f>IF((M7-N7-U$4)&lt;0,"-","+")</f>
        <v>-</v>
      </c>
      <c r="P7" s="339">
        <f>ABS(M7-N7-U$4)</f>
        <v>7.2833333333333297</v>
      </c>
      <c r="Q7" s="312">
        <f t="shared" ref="Q7:Q37" si="0">AP7</f>
        <v>0</v>
      </c>
      <c r="R7" s="312">
        <f t="shared" ref="R7:R37" si="1">AQ7</f>
        <v>0</v>
      </c>
      <c r="S7" s="312">
        <f t="shared" ref="S7:S37" si="2">AR7</f>
        <v>0</v>
      </c>
      <c r="T7" s="312">
        <f t="shared" ref="T7:T37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5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 t="shared" ref="AM7:AM37" si="11">IF(D7="F",1,)+IF((D7="VB")*AND(((G7-F7)+(I7-H7)+(K7-J7))&gt;0),1,0)</f>
        <v>0</v>
      </c>
      <c r="AN7" s="123">
        <f t="shared" ref="AN7:AN37" si="12">IF((D7="VB")*AND(((G7-F7)+(I7-H7)+(K7-J7))=0),"07:36",0)</f>
        <v>0</v>
      </c>
      <c r="AO7" s="317">
        <f t="shared" ref="AO7:AO37" si="13">IF((F7&lt;=$AQ$2)*AND(G7&gt;=$AQ$3),1,)+IF((H7&lt;=$AQ$2)*AND(I7&gt;=$AQ$3),1,)+IF((J7&lt;=$AQ$2)*AND(K7&gt;=$AQ$3),1,)</f>
        <v>0</v>
      </c>
      <c r="AP7" s="317">
        <f t="shared" ref="AP7:AP37" si="14">IF((F7&lt;=$AR$2)*AND(G7&gt;=$AR$3),1,)+IF((H7&lt;=$AR$2)*AND(I7&gt;=$AR$3),1,)+IF((J7&lt;=$AR$2)*AND(K7&gt;=$AR$3),1,)</f>
        <v>0</v>
      </c>
      <c r="AQ7" s="317">
        <f t="shared" ref="AQ7:AQ37" si="15">IF((F7&lt;=$AS$2)*AND(G7&gt;=$AS$3),1,)+IF((H7&lt;=$AS$2)*AND(I7&gt;=$AS$3),1,)+IF((J7&lt;=$AS$2)*AND(K7&gt;=$AS$3),1,)</f>
        <v>0</v>
      </c>
      <c r="AR7" s="317">
        <f t="shared" ref="AR7:AR37" si="16">IF((F7=$AT$2)*AND(G7&gt;=$AT$3),1,)+IF((H7=$AT$2)*AND(I7&gt;=$AT$3),1,)+IF((J7=$AT$2)*AND(K7&gt;=$AT$3),1,)</f>
        <v>0</v>
      </c>
      <c r="AS7" s="4">
        <f t="shared" ref="AS7:AS37" si="17">IF((E7="MO")*OR(E7="mo"),1,0)</f>
        <v>0</v>
      </c>
      <c r="AT7" s="4">
        <f t="shared" ref="AT7:AT37" si="18">IF((E7="M")*OR(E7="m"),1,0)</f>
        <v>0</v>
      </c>
      <c r="AU7" s="313">
        <f>IF(Data!$H$8="x",AV7,AW7)</f>
        <v>0.31666666666666665</v>
      </c>
      <c r="AV7" s="313">
        <f t="shared" ref="AV7:AV37" si="19">AW7/2</f>
        <v>0.15833333333333333</v>
      </c>
      <c r="AW7" s="313">
        <f>IF(D7="V",AX4,(AX4+"07:36"))</f>
        <v>0.31666666666666665</v>
      </c>
      <c r="AX7" s="6" t="str">
        <f t="shared" ref="AX7:AX37" si="20">B7</f>
        <v>Do</v>
      </c>
      <c r="AY7" s="4">
        <f>IF((R40="HAU1")*AND(R41&lt;&gt;""),VLOOKUP(R41,Barema!$Q$5:$R$31,2),)</f>
        <v>19703.73</v>
      </c>
      <c r="AZ7" s="4" t="s">
        <v>0</v>
      </c>
      <c r="BA7" s="102"/>
    </row>
    <row r="8" spans="1:54" s="378" customFormat="1" x14ac:dyDescent="0.2">
      <c r="A8" s="309"/>
      <c r="B8" s="6" t="s">
        <v>169</v>
      </c>
      <c r="C8" s="311" t="s">
        <v>512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13">
        <f>M7+L8</f>
        <v>0</v>
      </c>
      <c r="N8" s="338">
        <f>IF(Sep!$H$47="x",AU8+Sep!$N$36,AU8)</f>
        <v>7.5999999999999961</v>
      </c>
      <c r="O8" s="337" t="str">
        <f t="shared" ref="O8:O37" si="21">IF((M8-N8-U$4)&lt;0,"-","+")</f>
        <v>-</v>
      </c>
      <c r="P8" s="339">
        <f t="shared" ref="P8:P37" si="22">ABS(M8-N8-U$4)</f>
        <v>7.5999999999999961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7" si="23">AE8</f>
        <v>0</v>
      </c>
      <c r="W8" s="313">
        <f t="shared" ref="W8:W37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Vr</v>
      </c>
      <c r="AY8" s="4">
        <f>IF((R40="HAU2")*AND(R41&lt;&gt;""),VLOOKUP(R41,Barema!$T$5:$U$31,2),)</f>
        <v>0</v>
      </c>
      <c r="AZ8" s="4" t="s">
        <v>1</v>
      </c>
      <c r="BA8" s="102"/>
    </row>
    <row r="9" spans="1:54" s="376" customFormat="1" x14ac:dyDescent="0.2">
      <c r="A9" s="374"/>
      <c r="B9" s="362" t="s">
        <v>171</v>
      </c>
      <c r="C9" s="363" t="s">
        <v>513</v>
      </c>
      <c r="D9" s="364"/>
      <c r="E9" s="364"/>
      <c r="F9" s="365"/>
      <c r="G9" s="365"/>
      <c r="H9" s="365"/>
      <c r="I9" s="365"/>
      <c r="J9" s="375"/>
      <c r="K9" s="375"/>
      <c r="L9" s="366">
        <f>(G9-F9)+(I9-H9)+(K9-J9)</f>
        <v>0</v>
      </c>
      <c r="M9" s="366">
        <f t="shared" ref="M9:M37" si="25">M8+L9</f>
        <v>0</v>
      </c>
      <c r="N9" s="382">
        <f>IF(Sep!$H$47="x",AU9+Sep!$N$36,AU9)</f>
        <v>7.5999999999999961</v>
      </c>
      <c r="O9" s="377" t="str">
        <f t="shared" si="21"/>
        <v>-</v>
      </c>
      <c r="P9" s="383">
        <f t="shared" si="22"/>
        <v>7.5999999999999961</v>
      </c>
      <c r="Q9" s="364">
        <f t="shared" si="0"/>
        <v>0</v>
      </c>
      <c r="R9" s="364">
        <f t="shared" si="1"/>
        <v>0</v>
      </c>
      <c r="S9" s="364">
        <f t="shared" si="2"/>
        <v>0</v>
      </c>
      <c r="T9" s="364">
        <f t="shared" si="3"/>
        <v>0</v>
      </c>
      <c r="U9" s="366">
        <f>L9</f>
        <v>0</v>
      </c>
      <c r="V9" s="366">
        <f t="shared" si="23"/>
        <v>0</v>
      </c>
      <c r="W9" s="366">
        <f t="shared" si="24"/>
        <v>0</v>
      </c>
      <c r="X9" s="364"/>
      <c r="Y9" s="365"/>
      <c r="Z9" s="365"/>
      <c r="AA9" s="368">
        <f t="shared" si="4"/>
        <v>0</v>
      </c>
      <c r="AB9" s="368">
        <f t="shared" si="5"/>
        <v>0</v>
      </c>
      <c r="AC9" s="368">
        <f t="shared" ref="AC9:AC37" si="26">AA9+AB9</f>
        <v>0</v>
      </c>
      <c r="AD9" s="368">
        <f t="shared" si="6"/>
        <v>0</v>
      </c>
      <c r="AE9" s="369">
        <f t="shared" ref="AE9:AE37" si="27">AA9-AD9</f>
        <v>0</v>
      </c>
      <c r="AF9" s="368">
        <f t="shared" ref="AF9:AF37" si="28">AH9+AD9</f>
        <v>0</v>
      </c>
      <c r="AG9" s="369">
        <f t="shared" ref="AG9:AG37" si="29">AC9</f>
        <v>0</v>
      </c>
      <c r="AH9" s="368">
        <f t="shared" si="7"/>
        <v>0</v>
      </c>
      <c r="AI9" s="370">
        <f>IF((D9&lt;&gt;""),VLOOKUP(D9,Data!$E$36:$H$53,4),)</f>
        <v>0</v>
      </c>
      <c r="AJ9" s="370">
        <f t="shared" si="8"/>
        <v>0</v>
      </c>
      <c r="AK9" s="371">
        <f t="shared" si="9"/>
        <v>0</v>
      </c>
      <c r="AL9" s="371">
        <f t="shared" si="10"/>
        <v>0</v>
      </c>
      <c r="AM9" s="372">
        <f t="shared" si="11"/>
        <v>0</v>
      </c>
      <c r="AN9" s="370">
        <f t="shared" si="12"/>
        <v>0</v>
      </c>
      <c r="AO9" s="373">
        <f t="shared" si="13"/>
        <v>0</v>
      </c>
      <c r="AP9" s="373">
        <f t="shared" si="14"/>
        <v>0</v>
      </c>
      <c r="AQ9" s="373">
        <f t="shared" si="15"/>
        <v>0</v>
      </c>
      <c r="AR9" s="373">
        <f t="shared" si="16"/>
        <v>0</v>
      </c>
      <c r="AS9" s="371">
        <f t="shared" si="17"/>
        <v>0</v>
      </c>
      <c r="AT9" s="371">
        <f t="shared" si="18"/>
        <v>0</v>
      </c>
      <c r="AU9" s="366">
        <f>IF(Data!$H$8="x",AV9,AW9)</f>
        <v>0.6333333333333333</v>
      </c>
      <c r="AV9" s="366">
        <f t="shared" si="19"/>
        <v>0.31666666666666665</v>
      </c>
      <c r="AW9" s="366">
        <f>AW8</f>
        <v>0.6333333333333333</v>
      </c>
      <c r="AX9" s="362" t="str">
        <f t="shared" si="20"/>
        <v>Za</v>
      </c>
      <c r="AY9" s="371">
        <f>IF((R40="HAU3")*AND(R41&lt;&gt;""),VLOOKUP(R41,Barema!$W$5:$X$31,2),)</f>
        <v>0</v>
      </c>
      <c r="AZ9" s="371" t="s">
        <v>2</v>
      </c>
      <c r="BA9" s="439"/>
    </row>
    <row r="10" spans="1:54" s="376" customFormat="1" x14ac:dyDescent="0.2">
      <c r="A10" s="374"/>
      <c r="B10" s="362" t="s">
        <v>173</v>
      </c>
      <c r="C10" s="363" t="s">
        <v>514</v>
      </c>
      <c r="D10" s="364"/>
      <c r="E10" s="364"/>
      <c r="F10" s="365"/>
      <c r="G10" s="365"/>
      <c r="H10" s="365"/>
      <c r="I10" s="365"/>
      <c r="J10" s="375"/>
      <c r="K10" s="375"/>
      <c r="L10" s="366">
        <f>(G10-F10)+(I10-H10)+(K10-J10)</f>
        <v>0</v>
      </c>
      <c r="M10" s="366">
        <f t="shared" si="25"/>
        <v>0</v>
      </c>
      <c r="N10" s="382">
        <f>IF(Sep!$H$47="x",AU10+Sep!$N$36,AU10)</f>
        <v>7.5999999999999961</v>
      </c>
      <c r="O10" s="377" t="str">
        <f t="shared" si="21"/>
        <v>-</v>
      </c>
      <c r="P10" s="383">
        <f t="shared" si="22"/>
        <v>7.5999999999999961</v>
      </c>
      <c r="Q10" s="364">
        <f t="shared" si="0"/>
        <v>0</v>
      </c>
      <c r="R10" s="364">
        <f t="shared" si="1"/>
        <v>0</v>
      </c>
      <c r="S10" s="364">
        <f t="shared" si="2"/>
        <v>0</v>
      </c>
      <c r="T10" s="364">
        <f t="shared" si="3"/>
        <v>0</v>
      </c>
      <c r="U10" s="366">
        <f>L10</f>
        <v>0</v>
      </c>
      <c r="V10" s="366">
        <f t="shared" si="23"/>
        <v>0</v>
      </c>
      <c r="W10" s="366">
        <f t="shared" si="24"/>
        <v>0</v>
      </c>
      <c r="X10" s="364"/>
      <c r="Y10" s="365"/>
      <c r="Z10" s="365"/>
      <c r="AA10" s="368">
        <f t="shared" si="4"/>
        <v>0</v>
      </c>
      <c r="AB10" s="368">
        <f t="shared" si="5"/>
        <v>0</v>
      </c>
      <c r="AC10" s="368">
        <f t="shared" si="26"/>
        <v>0</v>
      </c>
      <c r="AD10" s="368">
        <f t="shared" si="6"/>
        <v>0</v>
      </c>
      <c r="AE10" s="369">
        <f t="shared" si="27"/>
        <v>0</v>
      </c>
      <c r="AF10" s="368">
        <f t="shared" si="28"/>
        <v>0</v>
      </c>
      <c r="AG10" s="369">
        <f t="shared" si="29"/>
        <v>0</v>
      </c>
      <c r="AH10" s="368">
        <f t="shared" si="7"/>
        <v>0</v>
      </c>
      <c r="AI10" s="370">
        <f>IF((D10&lt;&gt;""),VLOOKUP(D10,Data!$E$36:$H$53,4),)</f>
        <v>0</v>
      </c>
      <c r="AJ10" s="370">
        <f t="shared" si="8"/>
        <v>0</v>
      </c>
      <c r="AK10" s="371">
        <f t="shared" si="9"/>
        <v>0</v>
      </c>
      <c r="AL10" s="371">
        <f t="shared" si="10"/>
        <v>0</v>
      </c>
      <c r="AM10" s="372">
        <f t="shared" si="11"/>
        <v>0</v>
      </c>
      <c r="AN10" s="370">
        <f t="shared" si="12"/>
        <v>0</v>
      </c>
      <c r="AO10" s="373">
        <f t="shared" si="13"/>
        <v>0</v>
      </c>
      <c r="AP10" s="373">
        <f t="shared" si="14"/>
        <v>0</v>
      </c>
      <c r="AQ10" s="373">
        <f t="shared" si="15"/>
        <v>0</v>
      </c>
      <c r="AR10" s="373">
        <f t="shared" si="16"/>
        <v>0</v>
      </c>
      <c r="AS10" s="371">
        <f t="shared" si="17"/>
        <v>0</v>
      </c>
      <c r="AT10" s="371">
        <f t="shared" si="18"/>
        <v>0</v>
      </c>
      <c r="AU10" s="366">
        <f>IF(Data!$H$8="x",AV10,AW10)</f>
        <v>0.6333333333333333</v>
      </c>
      <c r="AV10" s="366">
        <f t="shared" si="19"/>
        <v>0.31666666666666665</v>
      </c>
      <c r="AW10" s="366">
        <f>AW9</f>
        <v>0.6333333333333333</v>
      </c>
      <c r="AX10" s="362" t="str">
        <f t="shared" si="20"/>
        <v>Zo</v>
      </c>
      <c r="AY10" s="371">
        <f>IF((R40="B1")*AND(R41&lt;&gt;""),VLOOKUP(R41,Barema!$Z$5:$AA$31,2),)</f>
        <v>0</v>
      </c>
      <c r="AZ10" s="371" t="s">
        <v>3</v>
      </c>
      <c r="BA10" s="439"/>
    </row>
    <row r="11" spans="1:54" s="378" customFormat="1" x14ac:dyDescent="0.2">
      <c r="A11" s="309"/>
      <c r="B11" s="6" t="s">
        <v>175</v>
      </c>
      <c r="C11" s="311" t="s">
        <v>515</v>
      </c>
      <c r="D11" s="312"/>
      <c r="E11" s="312"/>
      <c r="F11" s="274"/>
      <c r="G11" s="274"/>
      <c r="H11" s="310"/>
      <c r="I11" s="310"/>
      <c r="J11" s="336"/>
      <c r="K11" s="336"/>
      <c r="L11" s="313">
        <f>(G11-F11)+(I11-H11)+(K11-J11)+AI11+AN11</f>
        <v>0</v>
      </c>
      <c r="M11" s="313">
        <f t="shared" si="25"/>
        <v>0</v>
      </c>
      <c r="N11" s="338">
        <f>IF(Sep!$H$47="x",AU11+Sep!$N$36,AU11)</f>
        <v>7.9166666666666634</v>
      </c>
      <c r="O11" s="337" t="str">
        <f t="shared" si="21"/>
        <v>-</v>
      </c>
      <c r="P11" s="339">
        <f t="shared" si="22"/>
        <v>7.9166666666666634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>
        <f>IF(D11="F",L11,0)</f>
        <v>0</v>
      </c>
      <c r="V11" s="313">
        <f t="shared" si="23"/>
        <v>0</v>
      </c>
      <c r="W11" s="313">
        <f t="shared" si="24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6"/>
        <v>0</v>
      </c>
      <c r="AD11" s="315">
        <f t="shared" si="6"/>
        <v>0</v>
      </c>
      <c r="AE11" s="316">
        <f t="shared" si="27"/>
        <v>0</v>
      </c>
      <c r="AF11" s="315">
        <f t="shared" si="28"/>
        <v>0</v>
      </c>
      <c r="AG11" s="316">
        <f t="shared" si="29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0.95</v>
      </c>
      <c r="AV11" s="313">
        <f t="shared" si="19"/>
        <v>0.47499999999999998</v>
      </c>
      <c r="AW11" s="313">
        <f>IF(D11="V",AW10,(AW10+"07:36"))</f>
        <v>0.95</v>
      </c>
      <c r="AX11" s="6" t="str">
        <f t="shared" si="20"/>
        <v>Ma</v>
      </c>
      <c r="AY11" s="4">
        <f>IF((R40="B2")*AND(R41&lt;&gt;""),VLOOKUP(R41,Barema!$AC$5:$AD$34,2),)</f>
        <v>0</v>
      </c>
      <c r="AZ11" s="4" t="s">
        <v>4</v>
      </c>
      <c r="BA11" s="102"/>
    </row>
    <row r="12" spans="1:54" s="378" customFormat="1" x14ac:dyDescent="0.2">
      <c r="A12" s="309"/>
      <c r="B12" s="6" t="s">
        <v>177</v>
      </c>
      <c r="C12" s="311" t="s">
        <v>516</v>
      </c>
      <c r="D12" s="312"/>
      <c r="E12" s="312"/>
      <c r="F12" s="274"/>
      <c r="G12" s="274"/>
      <c r="H12" s="310"/>
      <c r="I12" s="310"/>
      <c r="J12" s="336"/>
      <c r="K12" s="336"/>
      <c r="L12" s="313">
        <f>(G12-F12)+(I12-H12)+(K12-J12)+AI12+AN12</f>
        <v>0</v>
      </c>
      <c r="M12" s="313">
        <f t="shared" si="25"/>
        <v>0</v>
      </c>
      <c r="N12" s="338">
        <f>IF(Sep!$H$47="x",AU12+Sep!$N$36,AU12)</f>
        <v>8.2333333333333307</v>
      </c>
      <c r="O12" s="337" t="str">
        <f t="shared" si="21"/>
        <v>-</v>
      </c>
      <c r="P12" s="339">
        <f t="shared" si="22"/>
        <v>8.2333333333333307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>
        <f>IF(D12="F",L12,0)</f>
        <v>0</v>
      </c>
      <c r="V12" s="313">
        <f t="shared" si="23"/>
        <v>0</v>
      </c>
      <c r="W12" s="313">
        <f t="shared" si="24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6"/>
        <v>0</v>
      </c>
      <c r="AD12" s="315">
        <f t="shared" si="6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1.2666666666666666</v>
      </c>
      <c r="AV12" s="313">
        <f t="shared" si="19"/>
        <v>0.6333333333333333</v>
      </c>
      <c r="AW12" s="313">
        <f>IF(D12="V",AW11,(AW11+"07:36"))</f>
        <v>1.2666666666666666</v>
      </c>
      <c r="AX12" s="6" t="str">
        <f t="shared" si="20"/>
        <v>Di</v>
      </c>
      <c r="AY12" s="4">
        <f>IF((R40="B3")*AND(R41&lt;&gt;""),VLOOKUP(R41,Barema!$AF$5:$AG$34,2),)</f>
        <v>0</v>
      </c>
      <c r="AZ12" s="4" t="s">
        <v>5</v>
      </c>
      <c r="BA12" s="102"/>
    </row>
    <row r="13" spans="1:54" s="378" customFormat="1" x14ac:dyDescent="0.2">
      <c r="A13" s="309"/>
      <c r="B13" s="6" t="s">
        <v>179</v>
      </c>
      <c r="C13" s="415" t="s">
        <v>517</v>
      </c>
      <c r="D13" s="414"/>
      <c r="E13" s="414"/>
      <c r="F13" s="274"/>
      <c r="G13" s="274"/>
      <c r="H13" s="310"/>
      <c r="I13" s="310"/>
      <c r="J13" s="336"/>
      <c r="K13" s="336"/>
      <c r="L13" s="313">
        <f>(G13-F13)+(I13-H13)+(K13-J13)+AI13+AN13</f>
        <v>0</v>
      </c>
      <c r="M13" s="313">
        <f>M12+L13</f>
        <v>0</v>
      </c>
      <c r="N13" s="338">
        <f>IF(Sep!$H$47="x",AU13+Sep!$N$36,AU13)</f>
        <v>8.5499999999999972</v>
      </c>
      <c r="O13" s="337" t="str">
        <f t="shared" si="21"/>
        <v>-</v>
      </c>
      <c r="P13" s="339">
        <f t="shared" si="22"/>
        <v>8.5499999999999972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6"/>
        <v>0</v>
      </c>
      <c r="AD13" s="315">
        <f t="shared" si="6"/>
        <v>0</v>
      </c>
      <c r="AE13" s="316">
        <f t="shared" si="27"/>
        <v>0</v>
      </c>
      <c r="AF13" s="315">
        <f t="shared" si="28"/>
        <v>0</v>
      </c>
      <c r="AG13" s="316">
        <f t="shared" si="29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Wo</v>
      </c>
      <c r="AY13" s="4">
        <f>IF((R40="B4")*AND(R41&lt;&gt;""),VLOOKUP(R41,Barema!$AI$5:$AJ$35,2),)</f>
        <v>0</v>
      </c>
      <c r="AZ13" s="4" t="s">
        <v>6</v>
      </c>
      <c r="BA13" s="102"/>
    </row>
    <row r="14" spans="1:54" s="378" customFormat="1" x14ac:dyDescent="0.2">
      <c r="A14" s="309"/>
      <c r="B14" s="6" t="s">
        <v>167</v>
      </c>
      <c r="C14" s="311" t="s">
        <v>518</v>
      </c>
      <c r="D14" s="312"/>
      <c r="E14" s="414"/>
      <c r="F14" s="274"/>
      <c r="G14" s="274"/>
      <c r="H14" s="310"/>
      <c r="I14" s="310"/>
      <c r="J14" s="419"/>
      <c r="K14" s="419"/>
      <c r="L14" s="313">
        <f>(G14-F14)+(I14-H14)+(K14-J14)+AI14+AN14</f>
        <v>0</v>
      </c>
      <c r="M14" s="313">
        <f>M13+L14</f>
        <v>0</v>
      </c>
      <c r="N14" s="338">
        <f>IF(Sep!$H$47="x",AU14+Sep!$N$36,AU14)</f>
        <v>8.8666666666666636</v>
      </c>
      <c r="O14" s="337" t="str">
        <f t="shared" si="21"/>
        <v>-</v>
      </c>
      <c r="P14" s="339">
        <f t="shared" si="22"/>
        <v>8.8666666666666636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6"/>
        <v>0</v>
      </c>
      <c r="AD14" s="315">
        <f t="shared" si="6"/>
        <v>0</v>
      </c>
      <c r="AE14" s="316">
        <f t="shared" si="27"/>
        <v>0</v>
      </c>
      <c r="AF14" s="315">
        <f t="shared" si="28"/>
        <v>0</v>
      </c>
      <c r="AG14" s="316">
        <f t="shared" si="29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Do</v>
      </c>
      <c r="AY14" s="4">
        <f>IF((R40="B5")*AND(R41&lt;&gt;""),VLOOKUP(R41,Barema!$AL$5:$AM$35,2),)</f>
        <v>0</v>
      </c>
      <c r="AZ14" s="4" t="s">
        <v>7</v>
      </c>
      <c r="BA14" s="102"/>
    </row>
    <row r="15" spans="1:54" s="378" customFormat="1" x14ac:dyDescent="0.2">
      <c r="A15" s="309"/>
      <c r="B15" s="6" t="s">
        <v>169</v>
      </c>
      <c r="C15" s="311" t="s">
        <v>519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 t="shared" si="25"/>
        <v>0</v>
      </c>
      <c r="N15" s="338">
        <f>IF(Sep!$H$47="x",AU15+Sep!$N$36,AU15)</f>
        <v>9.18333333333333</v>
      </c>
      <c r="O15" s="337" t="str">
        <f>IF((M15-N15-U$4)&lt;0,"-","+")</f>
        <v>-</v>
      </c>
      <c r="P15" s="339">
        <f>ABS(M15-N15-U$4)</f>
        <v>9.18333333333333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6"/>
        <v>0</v>
      </c>
      <c r="AD15" s="315">
        <f t="shared" si="6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Vr</v>
      </c>
      <c r="AY15" s="4">
        <f>IF((R40="M1.1")*AND(R41&lt;&gt;""),VLOOKUP(R41,Barema!$AO$5:$AP$34,2),)</f>
        <v>0</v>
      </c>
      <c r="AZ15" s="4" t="s">
        <v>8</v>
      </c>
      <c r="BA15" s="102"/>
    </row>
    <row r="16" spans="1:54" s="376" customFormat="1" x14ac:dyDescent="0.2">
      <c r="A16" s="374"/>
      <c r="B16" s="362" t="s">
        <v>171</v>
      </c>
      <c r="C16" s="363" t="s">
        <v>520</v>
      </c>
      <c r="D16" s="364"/>
      <c r="E16" s="364"/>
      <c r="F16" s="365"/>
      <c r="G16" s="365"/>
      <c r="H16" s="365"/>
      <c r="I16" s="365"/>
      <c r="J16" s="375"/>
      <c r="K16" s="375"/>
      <c r="L16" s="366">
        <f>(G16-F16)+(I16-H16)+(K16-J16)</f>
        <v>0</v>
      </c>
      <c r="M16" s="366">
        <f>M15+L16</f>
        <v>0</v>
      </c>
      <c r="N16" s="382">
        <f>IF(Sep!$H$47="x",AU16+Sep!$N$36,AU16)</f>
        <v>9.18333333333333</v>
      </c>
      <c r="O16" s="377" t="str">
        <f t="shared" si="21"/>
        <v>-</v>
      </c>
      <c r="P16" s="383">
        <f t="shared" si="22"/>
        <v>9.18333333333333</v>
      </c>
      <c r="Q16" s="364">
        <f t="shared" si="0"/>
        <v>0</v>
      </c>
      <c r="R16" s="364">
        <f t="shared" si="1"/>
        <v>0</v>
      </c>
      <c r="S16" s="364">
        <f t="shared" si="2"/>
        <v>0</v>
      </c>
      <c r="T16" s="364">
        <f t="shared" si="3"/>
        <v>0</v>
      </c>
      <c r="U16" s="366">
        <f>L16</f>
        <v>0</v>
      </c>
      <c r="V16" s="366">
        <f t="shared" si="23"/>
        <v>0</v>
      </c>
      <c r="W16" s="366">
        <f t="shared" si="24"/>
        <v>0</v>
      </c>
      <c r="X16" s="364"/>
      <c r="Y16" s="365"/>
      <c r="Z16" s="365"/>
      <c r="AA16" s="368">
        <f t="shared" si="4"/>
        <v>0</v>
      </c>
      <c r="AB16" s="368">
        <f t="shared" si="5"/>
        <v>0</v>
      </c>
      <c r="AC16" s="368">
        <f t="shared" si="26"/>
        <v>0</v>
      </c>
      <c r="AD16" s="368">
        <f t="shared" si="6"/>
        <v>0</v>
      </c>
      <c r="AE16" s="369">
        <f t="shared" si="27"/>
        <v>0</v>
      </c>
      <c r="AF16" s="368">
        <f t="shared" si="28"/>
        <v>0</v>
      </c>
      <c r="AG16" s="369">
        <f t="shared" si="29"/>
        <v>0</v>
      </c>
      <c r="AH16" s="368">
        <f t="shared" si="7"/>
        <v>0</v>
      </c>
      <c r="AI16" s="370">
        <f>IF((D16&lt;&gt;""),VLOOKUP(D16,Data!$E$36:$H$53,4),)</f>
        <v>0</v>
      </c>
      <c r="AJ16" s="370">
        <f t="shared" si="8"/>
        <v>0</v>
      </c>
      <c r="AK16" s="371">
        <f t="shared" si="9"/>
        <v>0</v>
      </c>
      <c r="AL16" s="371">
        <f t="shared" si="10"/>
        <v>0</v>
      </c>
      <c r="AM16" s="372">
        <f t="shared" si="11"/>
        <v>0</v>
      </c>
      <c r="AN16" s="370">
        <f t="shared" si="12"/>
        <v>0</v>
      </c>
      <c r="AO16" s="373">
        <f t="shared" si="13"/>
        <v>0</v>
      </c>
      <c r="AP16" s="373">
        <f t="shared" si="14"/>
        <v>0</v>
      </c>
      <c r="AQ16" s="373">
        <f t="shared" si="15"/>
        <v>0</v>
      </c>
      <c r="AR16" s="373">
        <f t="shared" si="16"/>
        <v>0</v>
      </c>
      <c r="AS16" s="371">
        <f t="shared" si="17"/>
        <v>0</v>
      </c>
      <c r="AT16" s="371">
        <f t="shared" si="18"/>
        <v>0</v>
      </c>
      <c r="AU16" s="366">
        <f>IF(Data!$H$8="x",AV16,AW16)</f>
        <v>2.2166666666666668</v>
      </c>
      <c r="AV16" s="366">
        <f t="shared" si="19"/>
        <v>1.1083333333333334</v>
      </c>
      <c r="AW16" s="366">
        <f>AW15</f>
        <v>2.2166666666666668</v>
      </c>
      <c r="AX16" s="362" t="str">
        <f t="shared" si="20"/>
        <v>Za</v>
      </c>
      <c r="AY16" s="371">
        <f>IF((R40="M1.2")*AND(R41&lt;&gt;""),VLOOKUP(R41,Barema!$AR$5:$AS$34,2),)</f>
        <v>0</v>
      </c>
      <c r="AZ16" s="371" t="s">
        <v>9</v>
      </c>
      <c r="BA16" s="439"/>
    </row>
    <row r="17" spans="1:53" s="376" customFormat="1" x14ac:dyDescent="0.2">
      <c r="A17" s="374"/>
      <c r="B17" s="362" t="s">
        <v>173</v>
      </c>
      <c r="C17" s="363" t="s">
        <v>521</v>
      </c>
      <c r="D17" s="364"/>
      <c r="E17" s="364"/>
      <c r="F17" s="365"/>
      <c r="G17" s="365"/>
      <c r="H17" s="365"/>
      <c r="I17" s="365"/>
      <c r="J17" s="375"/>
      <c r="K17" s="375"/>
      <c r="L17" s="366">
        <f>(G17-F17)+(I17-H17)+(K17-J17)</f>
        <v>0</v>
      </c>
      <c r="M17" s="366">
        <f>M16+L17</f>
        <v>0</v>
      </c>
      <c r="N17" s="382">
        <f>IF(Sep!$H$47="x",AU17+Sep!$N$36,AU17)</f>
        <v>9.18333333333333</v>
      </c>
      <c r="O17" s="377" t="str">
        <f t="shared" si="21"/>
        <v>-</v>
      </c>
      <c r="P17" s="383">
        <f t="shared" si="22"/>
        <v>9.18333333333333</v>
      </c>
      <c r="Q17" s="364">
        <f t="shared" si="0"/>
        <v>0</v>
      </c>
      <c r="R17" s="364">
        <f t="shared" si="1"/>
        <v>0</v>
      </c>
      <c r="S17" s="364">
        <f t="shared" si="2"/>
        <v>0</v>
      </c>
      <c r="T17" s="364">
        <f t="shared" si="3"/>
        <v>0</v>
      </c>
      <c r="U17" s="366">
        <f>L17</f>
        <v>0</v>
      </c>
      <c r="V17" s="366">
        <f t="shared" si="23"/>
        <v>0</v>
      </c>
      <c r="W17" s="366">
        <f t="shared" si="24"/>
        <v>0</v>
      </c>
      <c r="X17" s="364"/>
      <c r="Y17" s="365"/>
      <c r="Z17" s="365"/>
      <c r="AA17" s="368">
        <f t="shared" si="4"/>
        <v>0</v>
      </c>
      <c r="AB17" s="368">
        <f t="shared" si="5"/>
        <v>0</v>
      </c>
      <c r="AC17" s="368">
        <f t="shared" si="26"/>
        <v>0</v>
      </c>
      <c r="AD17" s="368">
        <f t="shared" si="6"/>
        <v>0</v>
      </c>
      <c r="AE17" s="369">
        <f t="shared" si="27"/>
        <v>0</v>
      </c>
      <c r="AF17" s="368">
        <f t="shared" si="28"/>
        <v>0</v>
      </c>
      <c r="AG17" s="369">
        <f t="shared" si="29"/>
        <v>0</v>
      </c>
      <c r="AH17" s="368">
        <f t="shared" si="7"/>
        <v>0</v>
      </c>
      <c r="AI17" s="370">
        <f>IF((D17&lt;&gt;""),VLOOKUP(D17,Data!$E$36:$H$53,4),)</f>
        <v>0</v>
      </c>
      <c r="AJ17" s="370">
        <f>IF(U17&gt;0,L17,0)</f>
        <v>0</v>
      </c>
      <c r="AK17" s="371">
        <f>IF(L17&gt;0,D17,0)</f>
        <v>0</v>
      </c>
      <c r="AL17" s="371">
        <f t="shared" si="10"/>
        <v>0</v>
      </c>
      <c r="AM17" s="372">
        <f t="shared" si="11"/>
        <v>0</v>
      </c>
      <c r="AN17" s="370">
        <f t="shared" si="12"/>
        <v>0</v>
      </c>
      <c r="AO17" s="373">
        <f t="shared" si="13"/>
        <v>0</v>
      </c>
      <c r="AP17" s="373">
        <f t="shared" si="14"/>
        <v>0</v>
      </c>
      <c r="AQ17" s="373">
        <f t="shared" si="15"/>
        <v>0</v>
      </c>
      <c r="AR17" s="373">
        <f t="shared" si="16"/>
        <v>0</v>
      </c>
      <c r="AS17" s="371">
        <f t="shared" si="17"/>
        <v>0</v>
      </c>
      <c r="AT17" s="371">
        <f t="shared" si="18"/>
        <v>0</v>
      </c>
      <c r="AU17" s="366">
        <f>IF(Data!$H$8="x",AV17,AW17)</f>
        <v>2.2166666666666668</v>
      </c>
      <c r="AV17" s="366">
        <f t="shared" si="19"/>
        <v>1.1083333333333334</v>
      </c>
      <c r="AW17" s="366">
        <f>AW16</f>
        <v>2.2166666666666668</v>
      </c>
      <c r="AX17" s="362" t="str">
        <f t="shared" si="20"/>
        <v>Zo</v>
      </c>
      <c r="AY17" s="371">
        <f>IF((R40="M2.1")*AND(R41&lt;&gt;""),VLOOKUP(R41,Barema!$AU$5:$AV$34,2),)</f>
        <v>0</v>
      </c>
      <c r="AZ17" s="371" t="s">
        <v>10</v>
      </c>
      <c r="BA17" s="439"/>
    </row>
    <row r="18" spans="1:53" s="378" customFormat="1" x14ac:dyDescent="0.2">
      <c r="A18" s="309"/>
      <c r="B18" s="6" t="s">
        <v>175</v>
      </c>
      <c r="C18" s="311" t="s">
        <v>522</v>
      </c>
      <c r="D18" s="312"/>
      <c r="E18" s="312"/>
      <c r="F18" s="274"/>
      <c r="G18" s="274"/>
      <c r="H18" s="310"/>
      <c r="I18" s="310"/>
      <c r="J18" s="336"/>
      <c r="K18" s="336"/>
      <c r="L18" s="313">
        <f>(G18-F18)+(I18-H18)+(K18-J18)+AI18+AN18</f>
        <v>0</v>
      </c>
      <c r="M18" s="313">
        <f t="shared" si="25"/>
        <v>0</v>
      </c>
      <c r="N18" s="338">
        <f>IF(Sep!$H$47="x",AU18+Sep!$N$36,AU18)</f>
        <v>9.4999999999999964</v>
      </c>
      <c r="O18" s="337" t="str">
        <f t="shared" si="21"/>
        <v>-</v>
      </c>
      <c r="P18" s="339">
        <f t="shared" si="22"/>
        <v>9.4999999999999964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3"/>
        <v>0</v>
      </c>
      <c r="W18" s="313">
        <f t="shared" si="24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6"/>
        <v>0</v>
      </c>
      <c r="AD18" s="315">
        <f t="shared" si="6"/>
        <v>0</v>
      </c>
      <c r="AE18" s="316">
        <f t="shared" si="27"/>
        <v>0</v>
      </c>
      <c r="AF18" s="315">
        <f t="shared" si="28"/>
        <v>0</v>
      </c>
      <c r="AG18" s="316">
        <f t="shared" si="29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2.5333333333333332</v>
      </c>
      <c r="AV18" s="313">
        <f t="shared" si="19"/>
        <v>1.2666666666666666</v>
      </c>
      <c r="AW18" s="313">
        <f>IF(D18="V",AW17,(AW17+"07:36"))</f>
        <v>2.5333333333333332</v>
      </c>
      <c r="AX18" s="6" t="str">
        <f t="shared" si="20"/>
        <v>Ma</v>
      </c>
      <c r="AY18" s="4">
        <f>IF((R40="M2.2")*AND(R41&lt;&gt;""),VLOOKUP(R41,Barema!$AX$5:$AY$34,2),)</f>
        <v>0</v>
      </c>
      <c r="AZ18" s="4" t="s">
        <v>11</v>
      </c>
      <c r="BA18" s="102"/>
    </row>
    <row r="19" spans="1:53" s="378" customFormat="1" x14ac:dyDescent="0.2">
      <c r="A19" s="309"/>
      <c r="B19" s="6" t="s">
        <v>177</v>
      </c>
      <c r="C19" s="311" t="s">
        <v>523</v>
      </c>
      <c r="D19" s="312"/>
      <c r="E19" s="312"/>
      <c r="F19" s="274"/>
      <c r="G19" s="274"/>
      <c r="H19" s="310"/>
      <c r="I19" s="310"/>
      <c r="J19" s="336"/>
      <c r="K19" s="336"/>
      <c r="L19" s="313">
        <f>(G19-F19)+(I19-H19)+(K19-J19)+AI19+AN19</f>
        <v>0</v>
      </c>
      <c r="M19" s="313">
        <f t="shared" si="25"/>
        <v>0</v>
      </c>
      <c r="N19" s="338">
        <f>IF(Sep!$H$47="x",AU19+Sep!$N$36,AU19)</f>
        <v>9.8166666666666629</v>
      </c>
      <c r="O19" s="337" t="str">
        <f t="shared" si="21"/>
        <v>-</v>
      </c>
      <c r="P19" s="339">
        <f t="shared" si="22"/>
        <v>9.8166666666666629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2.8499999999999996</v>
      </c>
      <c r="AV19" s="313">
        <f t="shared" si="19"/>
        <v>1.4249999999999998</v>
      </c>
      <c r="AW19" s="313">
        <f>IF(D19="V",AW18,(AW18+"07:36"))</f>
        <v>2.8499999999999996</v>
      </c>
      <c r="AX19" s="6" t="str">
        <f t="shared" si="20"/>
        <v>Di</v>
      </c>
      <c r="AY19" s="4">
        <f>IF((R40="M3.1")*AND(R41&lt;&gt;""),VLOOKUP(R41,Barema!$BA$5:$BB$34,2),)</f>
        <v>0</v>
      </c>
      <c r="AZ19" s="4" t="s">
        <v>12</v>
      </c>
      <c r="BA19" s="102"/>
    </row>
    <row r="20" spans="1:53" s="378" customFormat="1" x14ac:dyDescent="0.2">
      <c r="A20" s="309"/>
      <c r="B20" s="6" t="s">
        <v>179</v>
      </c>
      <c r="C20" s="415" t="s">
        <v>524</v>
      </c>
      <c r="D20" s="414"/>
      <c r="E20" s="414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13">
        <f>M19+L20</f>
        <v>0</v>
      </c>
      <c r="N20" s="338">
        <f>IF(Sep!$H$47="x",AU20+Sep!$N$36,AU20)</f>
        <v>10.133333333333329</v>
      </c>
      <c r="O20" s="337" t="str">
        <f t="shared" si="21"/>
        <v>-</v>
      </c>
      <c r="P20" s="339">
        <f t="shared" si="22"/>
        <v>10.133333333333329</v>
      </c>
      <c r="Q20" s="312">
        <f t="shared" si="0"/>
        <v>0</v>
      </c>
      <c r="R20" s="312">
        <f t="shared" si="1"/>
        <v>0</v>
      </c>
      <c r="S20" s="312">
        <f t="shared" si="2"/>
        <v>0</v>
      </c>
      <c r="T20" s="312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6"/>
        <v>0</v>
      </c>
      <c r="AD20" s="315">
        <f t="shared" si="6"/>
        <v>0</v>
      </c>
      <c r="AE20" s="316">
        <f t="shared" si="27"/>
        <v>0</v>
      </c>
      <c r="AF20" s="315">
        <f t="shared" si="28"/>
        <v>0</v>
      </c>
      <c r="AG20" s="316">
        <f t="shared" si="29"/>
        <v>0</v>
      </c>
      <c r="AH20" s="315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 t="shared" si="19"/>
        <v>1.583333333333333</v>
      </c>
      <c r="AW20" s="313">
        <f>IF(D20="V",AW19,(AW19+"07:36"))</f>
        <v>3.1666666666666661</v>
      </c>
      <c r="AX20" s="6" t="str">
        <f t="shared" si="20"/>
        <v>Wo</v>
      </c>
      <c r="AY20" s="4">
        <f>IF((R40="M3.2")*AND(R41&lt;&gt;""),VLOOKUP(R41,Barema!$BD$5:$BE$34,2),)</f>
        <v>0</v>
      </c>
      <c r="AZ20" s="4" t="s">
        <v>13</v>
      </c>
      <c r="BA20" s="102"/>
    </row>
    <row r="21" spans="1:53" s="378" customFormat="1" x14ac:dyDescent="0.2">
      <c r="A21" s="309"/>
      <c r="B21" s="6" t="s">
        <v>167</v>
      </c>
      <c r="C21" s="311" t="s">
        <v>525</v>
      </c>
      <c r="D21" s="312"/>
      <c r="E21" s="414"/>
      <c r="F21" s="274"/>
      <c r="G21" s="274"/>
      <c r="H21" s="310"/>
      <c r="I21" s="310"/>
      <c r="J21" s="419"/>
      <c r="K21" s="419"/>
      <c r="L21" s="313">
        <f>(G21-F21)+(I21-H21)+(K21-J21)+AI21+AN21</f>
        <v>0</v>
      </c>
      <c r="M21" s="313">
        <f>M20+L21</f>
        <v>0</v>
      </c>
      <c r="N21" s="338">
        <f>IF(Sep!$H$47="x",AU21+Sep!$N$36,AU21)</f>
        <v>10.449999999999996</v>
      </c>
      <c r="O21" s="337" t="str">
        <f t="shared" si="21"/>
        <v>-</v>
      </c>
      <c r="P21" s="339">
        <f t="shared" si="22"/>
        <v>10.449999999999996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6"/>
        <v>0</v>
      </c>
      <c r="AD21" s="315">
        <f t="shared" si="6"/>
        <v>0</v>
      </c>
      <c r="AE21" s="316">
        <f t="shared" si="27"/>
        <v>0</v>
      </c>
      <c r="AF21" s="315">
        <f t="shared" si="28"/>
        <v>0</v>
      </c>
      <c r="AG21" s="316">
        <f t="shared" si="29"/>
        <v>0</v>
      </c>
      <c r="AH21" s="315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 t="shared" si="19"/>
        <v>1.7416666666666663</v>
      </c>
      <c r="AW21" s="313">
        <f>IF(D21="V",AW20,(AW20+"07:36"))</f>
        <v>3.4833333333333325</v>
      </c>
      <c r="AX21" s="6" t="str">
        <f t="shared" si="20"/>
        <v>Do</v>
      </c>
      <c r="AY21" s="4">
        <f>IF((R40="M4.1")*AND(R41&lt;&gt;""),VLOOKUP(R41,Barema!$BG$5:$BH$34,2),)</f>
        <v>0</v>
      </c>
      <c r="AZ21" s="4" t="s">
        <v>14</v>
      </c>
      <c r="BA21" s="102"/>
    </row>
    <row r="22" spans="1:53" s="378" customFormat="1" x14ac:dyDescent="0.2">
      <c r="A22" s="309"/>
      <c r="B22" s="6" t="s">
        <v>169</v>
      </c>
      <c r="C22" s="311" t="s">
        <v>526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 t="shared" si="25"/>
        <v>0</v>
      </c>
      <c r="N22" s="338">
        <f>IF(Sep!$H$47="x",AU22+Sep!$N$36,AU22)</f>
        <v>10.766666666666662</v>
      </c>
      <c r="O22" s="337" t="str">
        <f t="shared" si="21"/>
        <v>-</v>
      </c>
      <c r="P22" s="339">
        <f t="shared" si="22"/>
        <v>10.766666666666662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6"/>
        <v>0</v>
      </c>
      <c r="AD22" s="315">
        <f t="shared" si="6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Vr</v>
      </c>
      <c r="AY22" s="4">
        <f>IF((R40="M4.2")*AND(R41&lt;&gt;""),VLOOKUP(R41,Barema!$BJ$5:$BK$34,2),)</f>
        <v>0</v>
      </c>
      <c r="AZ22" s="4" t="s">
        <v>15</v>
      </c>
      <c r="BA22" s="102"/>
    </row>
    <row r="23" spans="1:53" s="376" customFormat="1" x14ac:dyDescent="0.2">
      <c r="A23" s="374"/>
      <c r="B23" s="362" t="s">
        <v>171</v>
      </c>
      <c r="C23" s="363" t="s">
        <v>527</v>
      </c>
      <c r="D23" s="364"/>
      <c r="E23" s="364"/>
      <c r="F23" s="365"/>
      <c r="G23" s="365"/>
      <c r="H23" s="365"/>
      <c r="I23" s="365"/>
      <c r="J23" s="375"/>
      <c r="K23" s="375"/>
      <c r="L23" s="366">
        <f>(G23-F23)+(I23-H23)+(K23-J23)</f>
        <v>0</v>
      </c>
      <c r="M23" s="366">
        <f t="shared" si="25"/>
        <v>0</v>
      </c>
      <c r="N23" s="382">
        <f>IF(Sep!$H$47="x",AU23+Sep!$N$36,AU23)</f>
        <v>10.766666666666662</v>
      </c>
      <c r="O23" s="377" t="str">
        <f t="shared" si="21"/>
        <v>-</v>
      </c>
      <c r="P23" s="383">
        <f t="shared" si="22"/>
        <v>10.766666666666662</v>
      </c>
      <c r="Q23" s="364">
        <f t="shared" si="0"/>
        <v>0</v>
      </c>
      <c r="R23" s="364">
        <f t="shared" si="1"/>
        <v>0</v>
      </c>
      <c r="S23" s="364">
        <f t="shared" si="2"/>
        <v>0</v>
      </c>
      <c r="T23" s="364">
        <f t="shared" si="3"/>
        <v>0</v>
      </c>
      <c r="U23" s="366">
        <f>L23</f>
        <v>0</v>
      </c>
      <c r="V23" s="366">
        <f t="shared" si="23"/>
        <v>0</v>
      </c>
      <c r="W23" s="366">
        <f t="shared" si="24"/>
        <v>0</v>
      </c>
      <c r="X23" s="364"/>
      <c r="Y23" s="365"/>
      <c r="Z23" s="365"/>
      <c r="AA23" s="368">
        <f t="shared" si="4"/>
        <v>0</v>
      </c>
      <c r="AB23" s="368">
        <f t="shared" si="5"/>
        <v>0</v>
      </c>
      <c r="AC23" s="368">
        <f t="shared" si="26"/>
        <v>0</v>
      </c>
      <c r="AD23" s="368">
        <f t="shared" si="6"/>
        <v>0</v>
      </c>
      <c r="AE23" s="369">
        <f t="shared" si="27"/>
        <v>0</v>
      </c>
      <c r="AF23" s="368">
        <f t="shared" si="28"/>
        <v>0</v>
      </c>
      <c r="AG23" s="369">
        <f t="shared" si="29"/>
        <v>0</v>
      </c>
      <c r="AH23" s="368">
        <f t="shared" si="7"/>
        <v>0</v>
      </c>
      <c r="AI23" s="370">
        <f>IF((D23&lt;&gt;""),VLOOKUP(D23,Data!$E$36:$H$53,4),)</f>
        <v>0</v>
      </c>
      <c r="AJ23" s="370">
        <f t="shared" si="8"/>
        <v>0</v>
      </c>
      <c r="AK23" s="371">
        <f t="shared" si="9"/>
        <v>0</v>
      </c>
      <c r="AL23" s="371">
        <f t="shared" si="10"/>
        <v>0</v>
      </c>
      <c r="AM23" s="372">
        <f t="shared" si="11"/>
        <v>0</v>
      </c>
      <c r="AN23" s="370">
        <f t="shared" si="12"/>
        <v>0</v>
      </c>
      <c r="AO23" s="373">
        <f t="shared" si="13"/>
        <v>0</v>
      </c>
      <c r="AP23" s="373">
        <f t="shared" si="14"/>
        <v>0</v>
      </c>
      <c r="AQ23" s="373">
        <f t="shared" si="15"/>
        <v>0</v>
      </c>
      <c r="AR23" s="373">
        <f t="shared" si="16"/>
        <v>0</v>
      </c>
      <c r="AS23" s="371">
        <f t="shared" si="17"/>
        <v>0</v>
      </c>
      <c r="AT23" s="371">
        <f t="shared" si="18"/>
        <v>0</v>
      </c>
      <c r="AU23" s="366">
        <f>IF(Data!$H$8="x",AV23,AW23)</f>
        <v>3.7999999999999989</v>
      </c>
      <c r="AV23" s="366">
        <f t="shared" si="19"/>
        <v>1.8999999999999995</v>
      </c>
      <c r="AW23" s="366">
        <f>AW22</f>
        <v>3.7999999999999989</v>
      </c>
      <c r="AX23" s="362" t="str">
        <f t="shared" si="20"/>
        <v>Za</v>
      </c>
      <c r="AY23" s="371">
        <f>IF((R40="M5.1")*AND(R41&lt;&gt;""),VLOOKUP(R41,Barema!$BM$5:$BN$35,2),)</f>
        <v>0</v>
      </c>
      <c r="AZ23" s="371" t="s">
        <v>16</v>
      </c>
      <c r="BA23" s="439"/>
    </row>
    <row r="24" spans="1:53" s="376" customFormat="1" x14ac:dyDescent="0.2">
      <c r="A24" s="374"/>
      <c r="B24" s="362" t="s">
        <v>173</v>
      </c>
      <c r="C24" s="363" t="s">
        <v>528</v>
      </c>
      <c r="D24" s="364"/>
      <c r="E24" s="364"/>
      <c r="F24" s="365"/>
      <c r="G24" s="365"/>
      <c r="H24" s="365"/>
      <c r="I24" s="365"/>
      <c r="J24" s="375"/>
      <c r="K24" s="375"/>
      <c r="L24" s="366">
        <f>(G24-F24)+(I24-H24)+(K24-J24)</f>
        <v>0</v>
      </c>
      <c r="M24" s="366">
        <f t="shared" si="25"/>
        <v>0</v>
      </c>
      <c r="N24" s="382">
        <f>IF(Sep!$H$47="x",AU24+Sep!$N$36,AU24)</f>
        <v>10.766666666666662</v>
      </c>
      <c r="O24" s="377" t="str">
        <f t="shared" si="21"/>
        <v>-</v>
      </c>
      <c r="P24" s="383">
        <f t="shared" si="22"/>
        <v>10.766666666666662</v>
      </c>
      <c r="Q24" s="364">
        <f t="shared" si="0"/>
        <v>0</v>
      </c>
      <c r="R24" s="364">
        <f t="shared" si="1"/>
        <v>0</v>
      </c>
      <c r="S24" s="364">
        <f t="shared" si="2"/>
        <v>0</v>
      </c>
      <c r="T24" s="364">
        <f t="shared" si="3"/>
        <v>0</v>
      </c>
      <c r="U24" s="366">
        <f>L24</f>
        <v>0</v>
      </c>
      <c r="V24" s="366">
        <f t="shared" si="23"/>
        <v>0</v>
      </c>
      <c r="W24" s="366">
        <f t="shared" si="24"/>
        <v>0</v>
      </c>
      <c r="X24" s="364"/>
      <c r="Y24" s="365"/>
      <c r="Z24" s="365"/>
      <c r="AA24" s="368">
        <f t="shared" si="4"/>
        <v>0</v>
      </c>
      <c r="AB24" s="368">
        <f t="shared" si="5"/>
        <v>0</v>
      </c>
      <c r="AC24" s="368">
        <f t="shared" si="26"/>
        <v>0</v>
      </c>
      <c r="AD24" s="368">
        <f t="shared" si="6"/>
        <v>0</v>
      </c>
      <c r="AE24" s="369">
        <f t="shared" si="27"/>
        <v>0</v>
      </c>
      <c r="AF24" s="368">
        <f t="shared" si="28"/>
        <v>0</v>
      </c>
      <c r="AG24" s="369">
        <f t="shared" si="29"/>
        <v>0</v>
      </c>
      <c r="AH24" s="368">
        <f t="shared" si="7"/>
        <v>0</v>
      </c>
      <c r="AI24" s="370">
        <f>IF((D24&lt;&gt;""),VLOOKUP(D24,Data!$E$36:$H$53,4),)</f>
        <v>0</v>
      </c>
      <c r="AJ24" s="370">
        <f t="shared" si="8"/>
        <v>0</v>
      </c>
      <c r="AK24" s="371">
        <f t="shared" si="9"/>
        <v>0</v>
      </c>
      <c r="AL24" s="371">
        <f t="shared" si="10"/>
        <v>0</v>
      </c>
      <c r="AM24" s="372">
        <f t="shared" si="11"/>
        <v>0</v>
      </c>
      <c r="AN24" s="370">
        <f t="shared" si="12"/>
        <v>0</v>
      </c>
      <c r="AO24" s="373">
        <f t="shared" si="13"/>
        <v>0</v>
      </c>
      <c r="AP24" s="373">
        <f t="shared" si="14"/>
        <v>0</v>
      </c>
      <c r="AQ24" s="373">
        <f t="shared" si="15"/>
        <v>0</v>
      </c>
      <c r="AR24" s="373">
        <f t="shared" si="16"/>
        <v>0</v>
      </c>
      <c r="AS24" s="371">
        <f t="shared" si="17"/>
        <v>0</v>
      </c>
      <c r="AT24" s="371">
        <f t="shared" si="18"/>
        <v>0</v>
      </c>
      <c r="AU24" s="366">
        <f>IF(Data!$H$8="x",AV24,AW24)</f>
        <v>3.7999999999999989</v>
      </c>
      <c r="AV24" s="366">
        <f t="shared" si="19"/>
        <v>1.8999999999999995</v>
      </c>
      <c r="AW24" s="366">
        <f>AW23</f>
        <v>3.7999999999999989</v>
      </c>
      <c r="AX24" s="362" t="str">
        <f t="shared" si="20"/>
        <v>Zo</v>
      </c>
      <c r="AY24" s="371">
        <f>IF((R40="M5.2")*AND(R41&lt;&gt;""),VLOOKUP(R41,Barema!$BP$5:$BQ$34,2),)</f>
        <v>0</v>
      </c>
      <c r="AZ24" s="371" t="s">
        <v>17</v>
      </c>
      <c r="BA24" s="439"/>
    </row>
    <row r="25" spans="1:53" s="378" customFormat="1" x14ac:dyDescent="0.2">
      <c r="A25" s="309"/>
      <c r="B25" s="6" t="s">
        <v>175</v>
      </c>
      <c r="C25" s="311" t="s">
        <v>529</v>
      </c>
      <c r="D25" s="312"/>
      <c r="E25" s="312"/>
      <c r="F25" s="274"/>
      <c r="G25" s="274"/>
      <c r="H25" s="310"/>
      <c r="I25" s="310"/>
      <c r="J25" s="336"/>
      <c r="K25" s="336"/>
      <c r="L25" s="313">
        <f>(G25-F25)+(I25-H25)+(K25-J25)+AI25+AN25</f>
        <v>0</v>
      </c>
      <c r="M25" s="313">
        <f t="shared" si="25"/>
        <v>0</v>
      </c>
      <c r="N25" s="338">
        <f>IF(Sep!$H$47="x",AU25+Sep!$N$36,AU25)</f>
        <v>11.083333333333329</v>
      </c>
      <c r="O25" s="337" t="str">
        <f t="shared" si="21"/>
        <v>-</v>
      </c>
      <c r="P25" s="339">
        <f t="shared" si="22"/>
        <v>11.083333333333329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3"/>
        <v>0</v>
      </c>
      <c r="W25" s="313">
        <f t="shared" si="24"/>
        <v>0</v>
      </c>
      <c r="X25" s="312"/>
      <c r="Y25" s="310"/>
      <c r="Z25" s="310"/>
      <c r="AA25" s="315">
        <f t="shared" ref="AA25:AA30" si="30">IF((G25&gt;$AD$3)*AND(F25&lt;=$AD$3),G25-$AD$3,)+IF(F25&gt;$AD$3,G25-F25,)+IF((I25&gt;$AD$3)*AND(H25&lt;=$AD$3),I25-$AD$3,)+IF((H25&gt;$AD$3),I25-H25,)+IF((K25&gt;$AD$3)*AND(J25&lt;=$AD$3),K25-$AD$3,)+IF((J25&gt;$AD$3),K25-J25,)</f>
        <v>0</v>
      </c>
      <c r="AB25" s="315">
        <f t="shared" ref="AB25:AB30" si="31">IF((G25&gt;=$AD$1)*AND(F25&lt;$AD$1),($AD$1)-F25,)+IF((G25&lt;$AD$1),G25-F25,)+IF((I25&gt;=$AD$1)*AND(H25&lt;$AD$1),($AD$1)-H25,)+IF((I25&lt;$AD$1),I25-H25,)+IF((K25&gt;=$AD$1)*AND(J25&lt;$AD$1),($AD$1)-J25,)+IF((K25&lt;$AD$1),K25-J25,)</f>
        <v>0</v>
      </c>
      <c r="AC25" s="315">
        <f t="shared" si="26"/>
        <v>0</v>
      </c>
      <c r="AD25" s="315">
        <f t="shared" ref="AD25:AD30" si="32">IF((G25&gt;0.91666667)*AND(F25&gt;=0.91666667),G25-F25,)+IF((G25&gt;0.91666667)*AND(F25&lt;0.91666667),G25-0.91666667,)+IF((I25&gt;0.91666667)*AND(H25&gt;=0.91666667),I25-H25,)+IF((I25&gt;0.91666667)*AND(H25&lt;0.91666667),I25-0.91666667,)+IF((K25&gt;0.91666667)*AND(J25&gt;=0.91666667),K25-J25,)+IF((K25&gt;0.91666667)*AND(J25&lt;0.91666667),K25-0.91666667,)</f>
        <v>0</v>
      </c>
      <c r="AE25" s="316">
        <f t="shared" si="27"/>
        <v>0</v>
      </c>
      <c r="AF25" s="315">
        <f t="shared" si="28"/>
        <v>0</v>
      </c>
      <c r="AG25" s="316">
        <f t="shared" si="29"/>
        <v>0</v>
      </c>
      <c r="AH25" s="315">
        <f t="shared" ref="AH25:AH30" si="33">IF((G25&gt;=$AD$2)*AND(F25&lt;$AD$2),($AD$2)-F25,)+IF((G25&lt;$AD$2),G25-F25,)+IF((I25&gt;=$AD$2)*AND(H25&lt;$AD$2),($AD$2)-H25,)+IF((I25&lt;$AD$2),I25-H25,)+IF((K25&gt;=$AD$2)*AND(J25&lt;$AD$2),($AD$2)-J25,)+IF((K25&lt;$AD$2),K25-J25,)</f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ref="AM25:AM30" si="34">IF(D25="F",1,)+IF((D25="VB")*AND(((G25-F25)+(I25-H25)+(K25-J25))&gt;0),1,0)</f>
        <v>0</v>
      </c>
      <c r="AN25" s="123">
        <f t="shared" ref="AN25:AN30" si="35">IF((D25="VB")*AND(((G25-F25)+(I25-H25)+(K25-J25))=0),"07:36",0)</f>
        <v>0</v>
      </c>
      <c r="AO25" s="317">
        <f t="shared" ref="AO25:AO30" si="36">IF((F25&lt;=$AQ$2)*AND(G25&gt;=$AQ$3),1,)+IF((H25&lt;=$AQ$2)*AND(I25&gt;=$AQ$3),1,)+IF((J25&lt;=$AQ$2)*AND(K25&gt;=$AQ$3),1,)</f>
        <v>0</v>
      </c>
      <c r="AP25" s="317">
        <f t="shared" ref="AP25:AP30" si="37">IF((F25&lt;=$AR$2)*AND(G25&gt;=$AR$3),1,)+IF((H25&lt;=$AR$2)*AND(I25&gt;=$AR$3),1,)+IF((J25&lt;=$AR$2)*AND(K25&gt;=$AR$3),1,)</f>
        <v>0</v>
      </c>
      <c r="AQ25" s="317">
        <f t="shared" ref="AQ25:AQ30" si="38">IF((F25&lt;=$AS$2)*AND(G25&gt;=$AS$3),1,)+IF((H25&lt;=$AS$2)*AND(I25&gt;=$AS$3),1,)+IF((J25&lt;=$AS$2)*AND(K25&gt;=$AS$3),1,)</f>
        <v>0</v>
      </c>
      <c r="AR25" s="317">
        <f t="shared" ref="AR25:AR30" si="39">IF((F25=$AT$2)*AND(G25&gt;=$AT$3),1,)+IF((H25=$AT$2)*AND(I25&gt;=$AT$3),1,)+IF((J25=$AT$2)*AND(K25&gt;=$AT$3),1,)</f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4.1166666666666654</v>
      </c>
      <c r="AV25" s="313">
        <f t="shared" si="19"/>
        <v>2.0583333333333327</v>
      </c>
      <c r="AW25" s="313">
        <f>IF(D25="V",AW24,(AW24+"07:36"))</f>
        <v>4.1166666666666654</v>
      </c>
      <c r="AX25" s="6" t="str">
        <f t="shared" si="20"/>
        <v>Ma</v>
      </c>
      <c r="AY25" s="4">
        <f>IF((R40="M6")*AND(R41&lt;&gt;""),VLOOKUP(R41,Barema!$BS$5:$BT$34,2),)</f>
        <v>0</v>
      </c>
      <c r="AZ25" s="4" t="s">
        <v>18</v>
      </c>
      <c r="BA25" s="102"/>
    </row>
    <row r="26" spans="1:53" s="378" customFormat="1" x14ac:dyDescent="0.2">
      <c r="A26" s="309"/>
      <c r="B26" s="6" t="s">
        <v>177</v>
      </c>
      <c r="C26" s="311" t="s">
        <v>530</v>
      </c>
      <c r="D26" s="312"/>
      <c r="E26" s="312"/>
      <c r="F26" s="274"/>
      <c r="G26" s="274"/>
      <c r="H26" s="310"/>
      <c r="I26" s="310"/>
      <c r="J26" s="336"/>
      <c r="K26" s="336"/>
      <c r="L26" s="313">
        <f>(G26-F26)+(I26-H26)+(K26-J26)+AI26+AN26</f>
        <v>0</v>
      </c>
      <c r="M26" s="313">
        <f t="shared" si="25"/>
        <v>0</v>
      </c>
      <c r="N26" s="338">
        <f>IF(Sep!$H$47="x",AU26+Sep!$N$36,AU26)</f>
        <v>11.399999999999995</v>
      </c>
      <c r="O26" s="337" t="str">
        <f t="shared" si="21"/>
        <v>-</v>
      </c>
      <c r="P26" s="339">
        <f t="shared" si="22"/>
        <v>11.399999999999995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30"/>
        <v>0</v>
      </c>
      <c r="AB26" s="315">
        <f t="shared" si="31"/>
        <v>0</v>
      </c>
      <c r="AC26" s="315">
        <f t="shared" si="26"/>
        <v>0</v>
      </c>
      <c r="AD26" s="315">
        <f t="shared" si="32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33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34"/>
        <v>0</v>
      </c>
      <c r="AN26" s="123">
        <f t="shared" si="35"/>
        <v>0</v>
      </c>
      <c r="AO26" s="317">
        <f t="shared" si="36"/>
        <v>0</v>
      </c>
      <c r="AP26" s="317">
        <f t="shared" si="37"/>
        <v>0</v>
      </c>
      <c r="AQ26" s="317">
        <f t="shared" si="38"/>
        <v>0</v>
      </c>
      <c r="AR26" s="317">
        <f t="shared" si="39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4.4333333333333318</v>
      </c>
      <c r="AV26" s="313">
        <f t="shared" si="19"/>
        <v>2.2166666666666659</v>
      </c>
      <c r="AW26" s="313">
        <f>IF(D26="V",AW25,(AW25+"07:36"))</f>
        <v>4.4333333333333318</v>
      </c>
      <c r="AX26" s="6" t="str">
        <f t="shared" si="20"/>
        <v>Di</v>
      </c>
      <c r="AY26" s="4">
        <f>IF((R40="M7")*AND(R41&lt;&gt;""),VLOOKUP(R41,Barema!$BV$5:$BW$34,2),)</f>
        <v>0</v>
      </c>
      <c r="AZ26" s="4" t="s">
        <v>19</v>
      </c>
      <c r="BA26" s="102"/>
    </row>
    <row r="27" spans="1:53" s="378" customFormat="1" x14ac:dyDescent="0.2">
      <c r="A27" s="309"/>
      <c r="B27" s="6" t="s">
        <v>179</v>
      </c>
      <c r="C27" s="415" t="s">
        <v>531</v>
      </c>
      <c r="D27" s="414"/>
      <c r="E27" s="414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13">
        <f>M26+L27</f>
        <v>0</v>
      </c>
      <c r="N27" s="338">
        <f>IF(Sep!$H$47="x",AU27+Sep!$N$36,AU27)</f>
        <v>11.716666666666661</v>
      </c>
      <c r="O27" s="337" t="str">
        <f t="shared" si="21"/>
        <v>-</v>
      </c>
      <c r="P27" s="339">
        <f t="shared" si="22"/>
        <v>11.716666666666661</v>
      </c>
      <c r="Q27" s="312">
        <f t="shared" si="0"/>
        <v>0</v>
      </c>
      <c r="R27" s="312">
        <f t="shared" si="1"/>
        <v>0</v>
      </c>
      <c r="S27" s="312">
        <f t="shared" si="2"/>
        <v>0</v>
      </c>
      <c r="T27" s="312">
        <f t="shared" si="3"/>
        <v>0</v>
      </c>
      <c r="U27" s="313">
        <f>IF(D27="F",L27,0)</f>
        <v>0</v>
      </c>
      <c r="V27" s="313">
        <f t="shared" si="23"/>
        <v>0</v>
      </c>
      <c r="W27" s="313">
        <f t="shared" si="24"/>
        <v>0</v>
      </c>
      <c r="X27" s="312"/>
      <c r="Y27" s="310"/>
      <c r="Z27" s="310"/>
      <c r="AA27" s="315">
        <f t="shared" si="30"/>
        <v>0</v>
      </c>
      <c r="AB27" s="315">
        <f t="shared" si="31"/>
        <v>0</v>
      </c>
      <c r="AC27" s="315">
        <f t="shared" si="26"/>
        <v>0</v>
      </c>
      <c r="AD27" s="315">
        <f t="shared" si="32"/>
        <v>0</v>
      </c>
      <c r="AE27" s="316">
        <f t="shared" si="27"/>
        <v>0</v>
      </c>
      <c r="AF27" s="315">
        <f t="shared" si="28"/>
        <v>0</v>
      </c>
      <c r="AG27" s="316">
        <f t="shared" si="29"/>
        <v>0</v>
      </c>
      <c r="AH27" s="315">
        <f t="shared" si="33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34"/>
        <v>0</v>
      </c>
      <c r="AN27" s="123">
        <f t="shared" si="35"/>
        <v>0</v>
      </c>
      <c r="AO27" s="317">
        <f t="shared" si="36"/>
        <v>0</v>
      </c>
      <c r="AP27" s="317">
        <f t="shared" si="37"/>
        <v>0</v>
      </c>
      <c r="AQ27" s="317">
        <f t="shared" si="38"/>
        <v>0</v>
      </c>
      <c r="AR27" s="317">
        <f t="shared" si="39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Wo</v>
      </c>
      <c r="AY27" s="4">
        <f>IF((R40="M7bis")*AND(R41&lt;&gt;""),VLOOKUP(R41,Barema!$BY$5:$BZ$34,2),)</f>
        <v>0</v>
      </c>
      <c r="AZ27" s="4" t="s">
        <v>20</v>
      </c>
      <c r="BA27" s="102"/>
    </row>
    <row r="28" spans="1:53" s="378" customFormat="1" x14ac:dyDescent="0.2">
      <c r="A28" s="309"/>
      <c r="B28" s="6" t="s">
        <v>167</v>
      </c>
      <c r="C28" s="311" t="s">
        <v>532</v>
      </c>
      <c r="D28" s="312"/>
      <c r="E28" s="414"/>
      <c r="F28" s="274"/>
      <c r="G28" s="274"/>
      <c r="H28" s="310"/>
      <c r="I28" s="310"/>
      <c r="J28" s="419"/>
      <c r="K28" s="419"/>
      <c r="L28" s="313">
        <f>(G28-F28)+(I28-H28)+(K28-J28)+AI28+AN28</f>
        <v>0</v>
      </c>
      <c r="M28" s="313">
        <f>M27+L28</f>
        <v>0</v>
      </c>
      <c r="N28" s="338">
        <f>IF(Sep!$H$47="x",AU28+Sep!$N$36,AU28)</f>
        <v>12.033333333333328</v>
      </c>
      <c r="O28" s="337" t="str">
        <f t="shared" si="21"/>
        <v>-</v>
      </c>
      <c r="P28" s="339">
        <f t="shared" si="22"/>
        <v>12.033333333333328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30"/>
        <v>0</v>
      </c>
      <c r="AB28" s="315">
        <f t="shared" si="31"/>
        <v>0</v>
      </c>
      <c r="AC28" s="315">
        <f t="shared" si="26"/>
        <v>0</v>
      </c>
      <c r="AD28" s="315">
        <f t="shared" si="32"/>
        <v>0</v>
      </c>
      <c r="AE28" s="316">
        <f t="shared" si="27"/>
        <v>0</v>
      </c>
      <c r="AF28" s="315">
        <f t="shared" si="28"/>
        <v>0</v>
      </c>
      <c r="AG28" s="316">
        <f t="shared" si="29"/>
        <v>0</v>
      </c>
      <c r="AH28" s="315">
        <f t="shared" si="33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34"/>
        <v>0</v>
      </c>
      <c r="AN28" s="123">
        <f t="shared" si="35"/>
        <v>0</v>
      </c>
      <c r="AO28" s="317">
        <f t="shared" si="36"/>
        <v>0</v>
      </c>
      <c r="AP28" s="317">
        <f t="shared" si="37"/>
        <v>0</v>
      </c>
      <c r="AQ28" s="317">
        <f t="shared" si="38"/>
        <v>0</v>
      </c>
      <c r="AR28" s="317">
        <f t="shared" si="39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Do</v>
      </c>
      <c r="AY28" s="4">
        <f>IF((R40="O1")*AND(R41&lt;&gt;""),VLOOKUP(R41,Barema!$Q$39:$R$66,2),)</f>
        <v>0</v>
      </c>
      <c r="AZ28" s="4" t="s">
        <v>21</v>
      </c>
      <c r="BA28" s="102"/>
    </row>
    <row r="29" spans="1:53" s="378" customFormat="1" x14ac:dyDescent="0.2">
      <c r="A29" s="309"/>
      <c r="B29" s="6" t="s">
        <v>169</v>
      </c>
      <c r="C29" s="311" t="s">
        <v>533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13">
        <f t="shared" si="25"/>
        <v>0</v>
      </c>
      <c r="N29" s="338">
        <f>IF(Sep!$H$47="x",AU29+Sep!$N$36,AU29)</f>
        <v>12.349999999999994</v>
      </c>
      <c r="O29" s="337" t="str">
        <f t="shared" si="21"/>
        <v>-</v>
      </c>
      <c r="P29" s="339">
        <f t="shared" si="22"/>
        <v>12.349999999999994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30"/>
        <v>0</v>
      </c>
      <c r="AB29" s="315">
        <f t="shared" si="31"/>
        <v>0</v>
      </c>
      <c r="AC29" s="315">
        <f t="shared" si="26"/>
        <v>0</v>
      </c>
      <c r="AD29" s="315">
        <f t="shared" si="32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5">
        <f t="shared" si="33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34"/>
        <v>0</v>
      </c>
      <c r="AN29" s="123">
        <f t="shared" si="35"/>
        <v>0</v>
      </c>
      <c r="AO29" s="317">
        <f t="shared" si="36"/>
        <v>0</v>
      </c>
      <c r="AP29" s="317">
        <f t="shared" si="37"/>
        <v>0</v>
      </c>
      <c r="AQ29" s="317">
        <f t="shared" si="38"/>
        <v>0</v>
      </c>
      <c r="AR29" s="317">
        <f t="shared" si="39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Vr</v>
      </c>
      <c r="AY29" s="4">
        <f>IF((R40="O2")*AND(R41&lt;&gt;""),VLOOKUP(R41,Barema!$T$39:$U$66,2),)</f>
        <v>0</v>
      </c>
      <c r="AZ29" s="4" t="s">
        <v>22</v>
      </c>
      <c r="BA29" s="102"/>
    </row>
    <row r="30" spans="1:53" s="376" customFormat="1" x14ac:dyDescent="0.2">
      <c r="A30" s="374"/>
      <c r="B30" s="362" t="s">
        <v>171</v>
      </c>
      <c r="C30" s="363" t="s">
        <v>534</v>
      </c>
      <c r="D30" s="364"/>
      <c r="E30" s="364"/>
      <c r="F30" s="365"/>
      <c r="G30" s="365"/>
      <c r="H30" s="365"/>
      <c r="I30" s="365"/>
      <c r="J30" s="375"/>
      <c r="K30" s="375"/>
      <c r="L30" s="366">
        <f>(G30-F30)+(I30-H30)+(K30-J30)</f>
        <v>0</v>
      </c>
      <c r="M30" s="366">
        <f t="shared" si="25"/>
        <v>0</v>
      </c>
      <c r="N30" s="382">
        <f>IF(Sep!$H$47="x",AU30+Sep!$N$36,AU30)</f>
        <v>12.349999999999994</v>
      </c>
      <c r="O30" s="377" t="str">
        <f t="shared" si="21"/>
        <v>-</v>
      </c>
      <c r="P30" s="383">
        <f t="shared" si="22"/>
        <v>12.349999999999994</v>
      </c>
      <c r="Q30" s="364">
        <f t="shared" si="0"/>
        <v>0</v>
      </c>
      <c r="R30" s="364">
        <f t="shared" si="1"/>
        <v>0</v>
      </c>
      <c r="S30" s="364">
        <f t="shared" si="2"/>
        <v>0</v>
      </c>
      <c r="T30" s="364">
        <f t="shared" si="3"/>
        <v>0</v>
      </c>
      <c r="U30" s="366">
        <f>L30</f>
        <v>0</v>
      </c>
      <c r="V30" s="366">
        <f t="shared" si="23"/>
        <v>0</v>
      </c>
      <c r="W30" s="366">
        <f t="shared" si="24"/>
        <v>0</v>
      </c>
      <c r="X30" s="364"/>
      <c r="Y30" s="365"/>
      <c r="Z30" s="365"/>
      <c r="AA30" s="368">
        <f t="shared" si="30"/>
        <v>0</v>
      </c>
      <c r="AB30" s="368">
        <f t="shared" si="31"/>
        <v>0</v>
      </c>
      <c r="AC30" s="368">
        <f t="shared" si="26"/>
        <v>0</v>
      </c>
      <c r="AD30" s="368">
        <f t="shared" si="32"/>
        <v>0</v>
      </c>
      <c r="AE30" s="369">
        <f t="shared" si="27"/>
        <v>0</v>
      </c>
      <c r="AF30" s="368">
        <f t="shared" si="28"/>
        <v>0</v>
      </c>
      <c r="AG30" s="369">
        <f t="shared" si="29"/>
        <v>0</v>
      </c>
      <c r="AH30" s="368">
        <f t="shared" si="33"/>
        <v>0</v>
      </c>
      <c r="AI30" s="370">
        <f>IF((D30&lt;&gt;""),VLOOKUP(D30,Data!$E$36:$H$53,4),)</f>
        <v>0</v>
      </c>
      <c r="AJ30" s="370">
        <f t="shared" si="8"/>
        <v>0</v>
      </c>
      <c r="AK30" s="371">
        <f t="shared" si="9"/>
        <v>0</v>
      </c>
      <c r="AL30" s="371">
        <f t="shared" si="10"/>
        <v>0</v>
      </c>
      <c r="AM30" s="372">
        <f t="shared" si="34"/>
        <v>0</v>
      </c>
      <c r="AN30" s="370">
        <f t="shared" si="35"/>
        <v>0</v>
      </c>
      <c r="AO30" s="373">
        <f t="shared" si="36"/>
        <v>0</v>
      </c>
      <c r="AP30" s="373">
        <f t="shared" si="37"/>
        <v>0</v>
      </c>
      <c r="AQ30" s="373">
        <f t="shared" si="38"/>
        <v>0</v>
      </c>
      <c r="AR30" s="373">
        <f t="shared" si="39"/>
        <v>0</v>
      </c>
      <c r="AS30" s="371">
        <f t="shared" si="17"/>
        <v>0</v>
      </c>
      <c r="AT30" s="371">
        <f t="shared" si="18"/>
        <v>0</v>
      </c>
      <c r="AU30" s="366">
        <f>IF(Data!$H$8="x",AV30,AW30)</f>
        <v>5.3833333333333311</v>
      </c>
      <c r="AV30" s="366">
        <f t="shared" si="19"/>
        <v>2.6916666666666655</v>
      </c>
      <c r="AW30" s="366">
        <f>AW29</f>
        <v>5.3833333333333311</v>
      </c>
      <c r="AX30" s="362" t="str">
        <f t="shared" si="20"/>
        <v>Za</v>
      </c>
      <c r="AY30" s="371">
        <f>IF((R40="O2ir")*AND(R41&lt;&gt;""),VLOOKUP(R41,Barema!$AR$39:$AS$66,2),)</f>
        <v>0</v>
      </c>
      <c r="AZ30" s="371" t="s">
        <v>30</v>
      </c>
      <c r="BA30" s="439"/>
    </row>
    <row r="31" spans="1:53" s="376" customFormat="1" x14ac:dyDescent="0.2">
      <c r="A31" s="374"/>
      <c r="B31" s="362" t="s">
        <v>173</v>
      </c>
      <c r="C31" s="363" t="s">
        <v>535</v>
      </c>
      <c r="D31" s="364"/>
      <c r="E31" s="364"/>
      <c r="F31" s="365"/>
      <c r="G31" s="365"/>
      <c r="H31" s="365"/>
      <c r="I31" s="365"/>
      <c r="J31" s="375"/>
      <c r="K31" s="375"/>
      <c r="L31" s="366">
        <f>(G31-F31)+(I31-H31)+(K31-J31)</f>
        <v>0</v>
      </c>
      <c r="M31" s="366">
        <f t="shared" si="25"/>
        <v>0</v>
      </c>
      <c r="N31" s="382">
        <f>IF(Sep!$H$47="x",AU31+Sep!$N$36,AU31)</f>
        <v>12.349999999999994</v>
      </c>
      <c r="O31" s="377" t="str">
        <f t="shared" si="21"/>
        <v>-</v>
      </c>
      <c r="P31" s="383">
        <f t="shared" si="22"/>
        <v>12.349999999999994</v>
      </c>
      <c r="Q31" s="364">
        <f t="shared" si="0"/>
        <v>0</v>
      </c>
      <c r="R31" s="364">
        <f t="shared" si="1"/>
        <v>0</v>
      </c>
      <c r="S31" s="364">
        <f t="shared" si="2"/>
        <v>0</v>
      </c>
      <c r="T31" s="364">
        <f t="shared" si="3"/>
        <v>0</v>
      </c>
      <c r="U31" s="366">
        <f>L31</f>
        <v>0</v>
      </c>
      <c r="V31" s="366">
        <f t="shared" si="23"/>
        <v>0</v>
      </c>
      <c r="W31" s="366">
        <f t="shared" si="24"/>
        <v>0</v>
      </c>
      <c r="X31" s="364"/>
      <c r="Y31" s="365"/>
      <c r="Z31" s="365"/>
      <c r="AA31" s="368">
        <f t="shared" si="4"/>
        <v>0</v>
      </c>
      <c r="AB31" s="368">
        <f t="shared" si="5"/>
        <v>0</v>
      </c>
      <c r="AC31" s="368">
        <f t="shared" si="26"/>
        <v>0</v>
      </c>
      <c r="AD31" s="368">
        <f t="shared" si="6"/>
        <v>0</v>
      </c>
      <c r="AE31" s="369">
        <f t="shared" si="27"/>
        <v>0</v>
      </c>
      <c r="AF31" s="368">
        <f t="shared" si="28"/>
        <v>0</v>
      </c>
      <c r="AG31" s="369">
        <f t="shared" si="29"/>
        <v>0</v>
      </c>
      <c r="AH31" s="368">
        <f t="shared" si="7"/>
        <v>0</v>
      </c>
      <c r="AI31" s="370">
        <f>IF((D31&lt;&gt;""),VLOOKUP(D31,Data!$E$36:$H$53,4),)</f>
        <v>0</v>
      </c>
      <c r="AJ31" s="370">
        <f t="shared" si="8"/>
        <v>0</v>
      </c>
      <c r="AK31" s="371">
        <f t="shared" si="9"/>
        <v>0</v>
      </c>
      <c r="AL31" s="371">
        <f t="shared" si="10"/>
        <v>0</v>
      </c>
      <c r="AM31" s="372">
        <f t="shared" si="11"/>
        <v>0</v>
      </c>
      <c r="AN31" s="370">
        <f t="shared" si="12"/>
        <v>0</v>
      </c>
      <c r="AO31" s="373">
        <f t="shared" si="13"/>
        <v>0</v>
      </c>
      <c r="AP31" s="373">
        <f t="shared" si="14"/>
        <v>0</v>
      </c>
      <c r="AQ31" s="373">
        <f t="shared" si="15"/>
        <v>0</v>
      </c>
      <c r="AR31" s="373">
        <f t="shared" si="16"/>
        <v>0</v>
      </c>
      <c r="AS31" s="371">
        <f t="shared" si="17"/>
        <v>0</v>
      </c>
      <c r="AT31" s="371">
        <f t="shared" si="18"/>
        <v>0</v>
      </c>
      <c r="AU31" s="366">
        <f>IF(Data!$H$8="x",AV31,AW31)</f>
        <v>5.3833333333333311</v>
      </c>
      <c r="AV31" s="366">
        <f>AW31/2</f>
        <v>2.6916666666666655</v>
      </c>
      <c r="AW31" s="366">
        <f>AW30</f>
        <v>5.3833333333333311</v>
      </c>
      <c r="AX31" s="362" t="str">
        <f t="shared" si="20"/>
        <v>Zo</v>
      </c>
      <c r="AY31" s="371">
        <f>IF((R40="O3")*AND(R41&lt;&gt;""),VLOOKUP(R41,Barema!$W$39:$X$66,2),)</f>
        <v>0</v>
      </c>
      <c r="AZ31" s="371" t="s">
        <v>23</v>
      </c>
      <c r="BA31" s="439"/>
    </row>
    <row r="32" spans="1:53" s="378" customFormat="1" x14ac:dyDescent="0.2">
      <c r="A32" s="309"/>
      <c r="B32" s="6" t="s">
        <v>175</v>
      </c>
      <c r="C32" s="311" t="s">
        <v>536</v>
      </c>
      <c r="D32" s="312"/>
      <c r="E32" s="312"/>
      <c r="F32" s="274"/>
      <c r="G32" s="274"/>
      <c r="H32" s="310"/>
      <c r="I32" s="310"/>
      <c r="J32" s="336"/>
      <c r="K32" s="336"/>
      <c r="L32" s="313">
        <f>(G32-F32)+(I32-H32)+(K32-J32)+AI32+AN32</f>
        <v>0</v>
      </c>
      <c r="M32" s="313">
        <f t="shared" si="25"/>
        <v>0</v>
      </c>
      <c r="N32" s="338">
        <f>IF(Sep!$H$47="x",AU32+Sep!$N$36,AU32)</f>
        <v>12.666666666666661</v>
      </c>
      <c r="O32" s="337" t="str">
        <f t="shared" si="21"/>
        <v>-</v>
      </c>
      <c r="P32" s="339">
        <f t="shared" si="22"/>
        <v>12.666666666666661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38">
        <f>IF(D32="F",L32,0)</f>
        <v>0</v>
      </c>
      <c r="V32" s="313">
        <f t="shared" si="23"/>
        <v>0</v>
      </c>
      <c r="W32" s="313">
        <f t="shared" si="24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6"/>
        <v>0</v>
      </c>
      <c r="AD32" s="315">
        <f t="shared" si="6"/>
        <v>0</v>
      </c>
      <c r="AE32" s="316">
        <f t="shared" si="27"/>
        <v>0</v>
      </c>
      <c r="AF32" s="315">
        <f t="shared" si="28"/>
        <v>0</v>
      </c>
      <c r="AG32" s="316">
        <f t="shared" si="29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5.6999999999999975</v>
      </c>
      <c r="AV32" s="313">
        <f>AW32/2</f>
        <v>2.8499999999999988</v>
      </c>
      <c r="AW32" s="313">
        <f>IF(D32="V",AW31,(AW31+"07:36"))</f>
        <v>5.6999999999999975</v>
      </c>
      <c r="AX32" s="6" t="str">
        <f t="shared" si="20"/>
        <v>Ma</v>
      </c>
      <c r="AY32" s="4">
        <f>IF((R40="O3ir")*AND(R41&lt;&gt;""),VLOOKUP(R41,Barema!$AU$39:$AV$66,2),)</f>
        <v>0</v>
      </c>
      <c r="AZ32" s="4" t="s">
        <v>31</v>
      </c>
      <c r="BA32" s="102"/>
    </row>
    <row r="33" spans="1:54" s="378" customFormat="1" x14ac:dyDescent="0.2">
      <c r="A33" s="309"/>
      <c r="B33" s="6" t="s">
        <v>177</v>
      </c>
      <c r="C33" s="311" t="s">
        <v>537</v>
      </c>
      <c r="D33" s="312"/>
      <c r="E33" s="312"/>
      <c r="F33" s="274"/>
      <c r="G33" s="274"/>
      <c r="H33" s="310"/>
      <c r="I33" s="310"/>
      <c r="J33" s="336"/>
      <c r="K33" s="336"/>
      <c r="L33" s="313">
        <f>(G33-F33)+(I33-H33)+(K33-J33)+AI33+AN33</f>
        <v>0</v>
      </c>
      <c r="M33" s="313">
        <f t="shared" si="25"/>
        <v>0</v>
      </c>
      <c r="N33" s="338">
        <f>IF(Sep!$H$47="x",AU33+Sep!$N$36,AU33)</f>
        <v>12.983333333333327</v>
      </c>
      <c r="O33" s="337" t="str">
        <f t="shared" si="21"/>
        <v>-</v>
      </c>
      <c r="P33" s="339">
        <f t="shared" si="22"/>
        <v>12.983333333333327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38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6.0166666666666639</v>
      </c>
      <c r="AV33" s="313">
        <f t="shared" si="19"/>
        <v>3.008333333333332</v>
      </c>
      <c r="AW33" s="313">
        <f>IF(D33="V",AW32,(AW32+"07:36"))</f>
        <v>6.0166666666666639</v>
      </c>
      <c r="AX33" s="6" t="str">
        <f t="shared" si="20"/>
        <v>Di</v>
      </c>
      <c r="AY33" s="4">
        <f>IF((R40="O4")*AND(R41&lt;&gt;""),VLOOKUP(R41,Barema!$Z$39:$AA$66,2),)</f>
        <v>0</v>
      </c>
      <c r="AZ33" s="4" t="s">
        <v>24</v>
      </c>
      <c r="BA33" s="102"/>
    </row>
    <row r="34" spans="1:54" s="378" customFormat="1" x14ac:dyDescent="0.2">
      <c r="A34" s="309"/>
      <c r="B34" s="6" t="s">
        <v>179</v>
      </c>
      <c r="C34" s="415" t="s">
        <v>538</v>
      </c>
      <c r="D34" s="414"/>
      <c r="E34" s="414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13">
        <f>M33+L34</f>
        <v>0</v>
      </c>
      <c r="N34" s="338">
        <f>IF(Sep!$H$47="x",AU34+Sep!$N$36,AU34)</f>
        <v>13.299999999999994</v>
      </c>
      <c r="O34" s="337" t="str">
        <f t="shared" si="21"/>
        <v>-</v>
      </c>
      <c r="P34" s="339">
        <f t="shared" si="22"/>
        <v>13.299999999999994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38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6"/>
        <v>0</v>
      </c>
      <c r="AD34" s="315">
        <f t="shared" si="6"/>
        <v>0</v>
      </c>
      <c r="AE34" s="316">
        <f t="shared" si="27"/>
        <v>0</v>
      </c>
      <c r="AF34" s="315">
        <f t="shared" si="28"/>
        <v>0</v>
      </c>
      <c r="AG34" s="316">
        <f t="shared" si="29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Wo</v>
      </c>
      <c r="AY34" s="4">
        <f>IF((R40="O4bis")*AND(R41&lt;&gt;""),VLOOKUP(R41,Barema!$BG$39:$BH$66,2),)</f>
        <v>0</v>
      </c>
      <c r="AZ34" s="4" t="s">
        <v>35</v>
      </c>
      <c r="BA34" s="102"/>
    </row>
    <row r="35" spans="1:54" s="378" customFormat="1" x14ac:dyDescent="0.2">
      <c r="A35" s="309"/>
      <c r="B35" s="6" t="s">
        <v>167</v>
      </c>
      <c r="C35" s="311" t="s">
        <v>539</v>
      </c>
      <c r="D35" s="312"/>
      <c r="E35" s="414"/>
      <c r="F35" s="274"/>
      <c r="G35" s="274"/>
      <c r="H35" s="310"/>
      <c r="I35" s="310"/>
      <c r="J35" s="419"/>
      <c r="K35" s="419"/>
      <c r="L35" s="313">
        <f>(G35-F35)+(I35-H35)+(K35-J35)+AI35+AN35</f>
        <v>0</v>
      </c>
      <c r="M35" s="313">
        <f>M34+L35</f>
        <v>0</v>
      </c>
      <c r="N35" s="338">
        <f>IF(Sep!$H$47="x",AU35+Sep!$N$36,AU35)</f>
        <v>13.61666666666666</v>
      </c>
      <c r="O35" s="337" t="str">
        <f t="shared" si="21"/>
        <v>-</v>
      </c>
      <c r="P35" s="339">
        <f t="shared" si="22"/>
        <v>13.61666666666666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38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6"/>
        <v>0</v>
      </c>
      <c r="AD35" s="315">
        <f t="shared" si="6"/>
        <v>0</v>
      </c>
      <c r="AE35" s="316">
        <f t="shared" si="27"/>
        <v>0</v>
      </c>
      <c r="AF35" s="315">
        <f t="shared" si="28"/>
        <v>0</v>
      </c>
      <c r="AG35" s="316">
        <f t="shared" si="29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Do</v>
      </c>
      <c r="AY35" s="4">
        <f>IF((R40="O4bis-ir")*AND(R41&lt;&gt;""),VLOOKUP(R41,Barema!$AO$39:$AP$66,2),)</f>
        <v>0</v>
      </c>
      <c r="AZ35" s="4" t="s">
        <v>29</v>
      </c>
      <c r="BA35" s="102"/>
    </row>
    <row r="36" spans="1:54" s="378" customFormat="1" x14ac:dyDescent="0.2">
      <c r="A36" s="309"/>
      <c r="B36" s="6" t="s">
        <v>169</v>
      </c>
      <c r="C36" s="311" t="s">
        <v>540</v>
      </c>
      <c r="D36" s="312"/>
      <c r="E36" s="312"/>
      <c r="F36" s="274"/>
      <c r="G36" s="274"/>
      <c r="H36" s="310"/>
      <c r="I36" s="310"/>
      <c r="J36" s="336"/>
      <c r="K36" s="336"/>
      <c r="L36" s="313">
        <f>(G36-F36)+(I36-H36)+(K36-J36)+AI36+AN36</f>
        <v>0</v>
      </c>
      <c r="M36" s="313">
        <f t="shared" si="25"/>
        <v>0</v>
      </c>
      <c r="N36" s="338">
        <f>IF(Sep!$H$47="x",AU36+Sep!$N$36,AU36)</f>
        <v>13.933333333333326</v>
      </c>
      <c r="O36" s="337" t="str">
        <f t="shared" si="21"/>
        <v>-</v>
      </c>
      <c r="P36" s="339">
        <f t="shared" si="22"/>
        <v>13.933333333333326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38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6"/>
        <v>0</v>
      </c>
      <c r="AD36" s="315">
        <f t="shared" si="6"/>
        <v>0</v>
      </c>
      <c r="AE36" s="316">
        <f t="shared" si="27"/>
        <v>0</v>
      </c>
      <c r="AF36" s="315">
        <f t="shared" si="28"/>
        <v>0</v>
      </c>
      <c r="AG36" s="316">
        <f t="shared" si="29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Vr</v>
      </c>
      <c r="AY36" s="4">
        <f>IF((R40="O4ir")*AND(R41&lt;&gt;""),VLOOKUP(R41,Barema!$AX$39:$AY$66,2),)</f>
        <v>0</v>
      </c>
      <c r="AZ36" s="4" t="s">
        <v>32</v>
      </c>
      <c r="BA36" s="102"/>
    </row>
    <row r="37" spans="1:54" s="376" customFormat="1" x14ac:dyDescent="0.2">
      <c r="A37" s="374"/>
      <c r="B37" s="362" t="s">
        <v>171</v>
      </c>
      <c r="C37" s="363" t="s">
        <v>541</v>
      </c>
      <c r="D37" s="364"/>
      <c r="E37" s="364"/>
      <c r="F37" s="365"/>
      <c r="G37" s="365"/>
      <c r="H37" s="365"/>
      <c r="I37" s="365"/>
      <c r="J37" s="375"/>
      <c r="K37" s="375"/>
      <c r="L37" s="366">
        <f>(G37-F37)+(I37-H37)+(K37-J37)</f>
        <v>0</v>
      </c>
      <c r="M37" s="366">
        <f t="shared" si="25"/>
        <v>0</v>
      </c>
      <c r="N37" s="382">
        <f>IF(Sep!$H$47="x",AU37+Sep!$N$36,AU37)</f>
        <v>13.933333333333326</v>
      </c>
      <c r="O37" s="377" t="str">
        <f t="shared" si="21"/>
        <v>-</v>
      </c>
      <c r="P37" s="383">
        <f t="shared" si="22"/>
        <v>13.933333333333326</v>
      </c>
      <c r="Q37" s="364">
        <f t="shared" si="0"/>
        <v>0</v>
      </c>
      <c r="R37" s="364">
        <f t="shared" si="1"/>
        <v>0</v>
      </c>
      <c r="S37" s="364">
        <f t="shared" si="2"/>
        <v>0</v>
      </c>
      <c r="T37" s="364">
        <f t="shared" si="3"/>
        <v>0</v>
      </c>
      <c r="U37" s="382">
        <f>L37</f>
        <v>0</v>
      </c>
      <c r="V37" s="366">
        <f t="shared" si="23"/>
        <v>0</v>
      </c>
      <c r="W37" s="366">
        <f t="shared" si="24"/>
        <v>0</v>
      </c>
      <c r="X37" s="364"/>
      <c r="Y37" s="365"/>
      <c r="Z37" s="365"/>
      <c r="AA37" s="368">
        <f t="shared" si="4"/>
        <v>0</v>
      </c>
      <c r="AB37" s="368">
        <f t="shared" si="5"/>
        <v>0</v>
      </c>
      <c r="AC37" s="368">
        <f t="shared" si="26"/>
        <v>0</v>
      </c>
      <c r="AD37" s="368">
        <f t="shared" si="6"/>
        <v>0</v>
      </c>
      <c r="AE37" s="369">
        <f t="shared" si="27"/>
        <v>0</v>
      </c>
      <c r="AF37" s="368">
        <f t="shared" si="28"/>
        <v>0</v>
      </c>
      <c r="AG37" s="369">
        <f t="shared" si="29"/>
        <v>0</v>
      </c>
      <c r="AH37" s="368">
        <f t="shared" si="7"/>
        <v>0</v>
      </c>
      <c r="AI37" s="370">
        <f>IF((D37&lt;&gt;""),VLOOKUP(D37,Data!$E$36:$H$53,4),)</f>
        <v>0</v>
      </c>
      <c r="AJ37" s="370">
        <f t="shared" si="8"/>
        <v>0</v>
      </c>
      <c r="AK37" s="371">
        <f t="shared" si="9"/>
        <v>0</v>
      </c>
      <c r="AL37" s="371">
        <f t="shared" si="10"/>
        <v>0</v>
      </c>
      <c r="AM37" s="372">
        <f t="shared" si="11"/>
        <v>0</v>
      </c>
      <c r="AN37" s="370">
        <f t="shared" si="12"/>
        <v>0</v>
      </c>
      <c r="AO37" s="373">
        <f t="shared" si="13"/>
        <v>0</v>
      </c>
      <c r="AP37" s="373">
        <f t="shared" si="14"/>
        <v>0</v>
      </c>
      <c r="AQ37" s="373">
        <f t="shared" si="15"/>
        <v>0</v>
      </c>
      <c r="AR37" s="373">
        <f t="shared" si="16"/>
        <v>0</v>
      </c>
      <c r="AS37" s="371">
        <f t="shared" si="17"/>
        <v>0</v>
      </c>
      <c r="AT37" s="371">
        <f t="shared" si="18"/>
        <v>0</v>
      </c>
      <c r="AU37" s="366">
        <f>IF(Data!$H$8="x",AV37,AW37)</f>
        <v>6.9666666666666632</v>
      </c>
      <c r="AV37" s="366">
        <f t="shared" si="19"/>
        <v>3.4833333333333316</v>
      </c>
      <c r="AW37" s="366">
        <f>AW36</f>
        <v>6.9666666666666632</v>
      </c>
      <c r="AX37" s="362" t="str">
        <f t="shared" si="20"/>
        <v>Za</v>
      </c>
      <c r="AY37" s="371">
        <f>IF((R40="O5")*AND(R41&lt;&gt;""),VLOOKUP(R41,Barema!$AC$39:$AD$66,2),)</f>
        <v>0</v>
      </c>
      <c r="AZ37" s="371" t="s">
        <v>25</v>
      </c>
      <c r="BA37" s="439"/>
    </row>
    <row r="38" spans="1:54" x14ac:dyDescent="0.2">
      <c r="AB38" s="123">
        <f t="shared" ref="AB38:AI38" si="40">SUM(AA7:AA37)</f>
        <v>0</v>
      </c>
      <c r="AC38" s="123">
        <f t="shared" si="40"/>
        <v>0</v>
      </c>
      <c r="AD38" s="123">
        <f t="shared" si="40"/>
        <v>0</v>
      </c>
      <c r="AE38" s="123">
        <f t="shared" si="40"/>
        <v>0</v>
      </c>
      <c r="AF38" s="123">
        <f t="shared" si="40"/>
        <v>0</v>
      </c>
      <c r="AG38" s="123">
        <f t="shared" si="40"/>
        <v>0</v>
      </c>
      <c r="AH38" s="123">
        <f t="shared" si="40"/>
        <v>0</v>
      </c>
      <c r="AI38" s="123">
        <f t="shared" si="40"/>
        <v>0</v>
      </c>
      <c r="AK38" s="123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IF((R40="O5ir")*AND(R41&lt;&gt;""),VLOOKUP(R41,Barema!$BA$39:$BB$66,2),)</f>
        <v>0</v>
      </c>
      <c r="AZ38" s="4" t="s">
        <v>33</v>
      </c>
      <c r="BB38" s="4"/>
    </row>
    <row r="39" spans="1:54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41">IF((MINUTE(AB38)&gt;=30),(AB38+0.041666667),AB38)</f>
        <v>0</v>
      </c>
      <c r="AC39" s="123">
        <f t="shared" si="41"/>
        <v>0</v>
      </c>
      <c r="AD39" s="123">
        <f t="shared" si="41"/>
        <v>0</v>
      </c>
      <c r="AE39" s="123">
        <f t="shared" si="41"/>
        <v>0</v>
      </c>
      <c r="AF39" s="123">
        <f t="shared" si="41"/>
        <v>0</v>
      </c>
      <c r="AG39" s="123">
        <f t="shared" si="41"/>
        <v>0</v>
      </c>
      <c r="AH39" s="123">
        <f t="shared" si="41"/>
        <v>0</v>
      </c>
      <c r="AI39" s="123">
        <f t="shared" si="41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IF((R40="O6")*AND(R41&lt;&gt;""),VLOOKUP(R41,Barema!$AF$39:$AG$66,2),)</f>
        <v>0</v>
      </c>
      <c r="AZ39" s="4" t="s">
        <v>26</v>
      </c>
      <c r="BB39" s="4"/>
    </row>
    <row r="40" spans="1:54" x14ac:dyDescent="0.2">
      <c r="C40" s="42" t="s">
        <v>207</v>
      </c>
      <c r="D40" s="43"/>
      <c r="E40" s="43"/>
      <c r="F40" s="43"/>
      <c r="G40" s="44"/>
      <c r="H40" s="28">
        <f>Sep!$H$44</f>
        <v>36</v>
      </c>
      <c r="J40" s="9" t="s">
        <v>542</v>
      </c>
      <c r="K40" s="10"/>
      <c r="L40" s="11"/>
      <c r="M40" s="18"/>
      <c r="N40" s="18"/>
      <c r="O40" s="10"/>
      <c r="P40" s="11"/>
      <c r="Q40" s="11"/>
      <c r="R40" s="441" t="s">
        <v>0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42">IF(MINUTE(AB39)&gt;0,FLOOR(AB39,0.041666667),AB39)</f>
        <v>0</v>
      </c>
      <c r="AC40" s="123">
        <f t="shared" si="42"/>
        <v>0</v>
      </c>
      <c r="AD40" s="123">
        <f t="shared" si="42"/>
        <v>0</v>
      </c>
      <c r="AE40" s="123">
        <f t="shared" si="42"/>
        <v>0</v>
      </c>
      <c r="AF40" s="123">
        <f t="shared" si="42"/>
        <v>0</v>
      </c>
      <c r="AG40" s="123">
        <f t="shared" si="42"/>
        <v>0</v>
      </c>
      <c r="AH40" s="123">
        <f t="shared" si="42"/>
        <v>0</v>
      </c>
      <c r="AI40" s="123">
        <f t="shared" si="42"/>
        <v>0</v>
      </c>
      <c r="AK40" s="140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IF((R40="O6ir")*AND(R41&lt;&gt;""),VLOOKUP(R41,Barema!$BD$39:$BE$66,2),)</f>
        <v>0</v>
      </c>
      <c r="AZ40" s="4" t="s">
        <v>34</v>
      </c>
      <c r="BB40" s="4"/>
    </row>
    <row r="41" spans="1:54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543</v>
      </c>
      <c r="K41" s="13"/>
      <c r="L41" s="14"/>
      <c r="M41" s="13"/>
      <c r="N41" s="13"/>
      <c r="O41" s="13"/>
      <c r="P41" s="14"/>
      <c r="Q41" s="14"/>
      <c r="R41" s="443">
        <v>22</v>
      </c>
      <c r="S41" s="444"/>
      <c r="T41" s="328">
        <f>AY55</f>
        <v>19703.73</v>
      </c>
      <c r="U41" s="330"/>
      <c r="V41" s="331"/>
      <c r="W41" s="318"/>
      <c r="X41" s="318"/>
      <c r="Z41" s="1"/>
      <c r="AA41" s="1"/>
      <c r="AF41" s="4"/>
      <c r="AG41" s="88"/>
      <c r="AH41" s="10" t="s">
        <v>217</v>
      </c>
      <c r="AI41" s="10"/>
      <c r="AJ41" s="89"/>
      <c r="AK41" s="10" t="s">
        <v>219</v>
      </c>
      <c r="AL41" s="10"/>
      <c r="AM41" s="18"/>
      <c r="AN41" s="89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2"/>
    </row>
    <row r="42" spans="1:54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1"/>
      <c r="R42" s="1"/>
      <c r="S42" s="15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62"/>
      <c r="AG42" s="15"/>
      <c r="AH42" s="4">
        <f>X41*1.2434/1850</f>
        <v>0</v>
      </c>
      <c r="AI42" s="4"/>
      <c r="AJ42" s="33"/>
      <c r="AK42" s="4">
        <f>T41*AA40/1850</f>
        <v>22.6039060427027</v>
      </c>
      <c r="AL42" s="4" t="s">
        <v>218</v>
      </c>
      <c r="AN42" s="33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54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K43" s="4"/>
      <c r="L43" s="4"/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E43" s="4" t="e">
        <f>M45*78</f>
        <v>#VALUE!</v>
      </c>
      <c r="AG43" s="198" t="s">
        <v>122</v>
      </c>
      <c r="AH43" s="4">
        <f>AH42*0.9645*AK49/100*1.45</f>
        <v>0</v>
      </c>
      <c r="AI43" s="4"/>
      <c r="AJ43" s="33"/>
      <c r="AK43" s="131">
        <f>(AK42*0.9645)*AK49/100</f>
        <v>10.578071971896213</v>
      </c>
      <c r="AL43" s="17" t="s">
        <v>223</v>
      </c>
      <c r="AM43" s="39"/>
      <c r="AN43" s="40"/>
      <c r="AP43" s="4"/>
      <c r="AQ43" s="4"/>
      <c r="AR43" s="4"/>
      <c r="AS43" s="4"/>
      <c r="AT43" s="4"/>
      <c r="AU43" s="4"/>
      <c r="AY43" s="17">
        <f>IF((R40="HAU4")*AND(R41&lt;&gt;""),VLOOKUP(R41,Barema!$BJ$39:$BK$66,2),)</f>
        <v>0</v>
      </c>
      <c r="AZ43" s="17" t="s">
        <v>705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228</v>
      </c>
      <c r="K44" s="4"/>
      <c r="L44" s="4"/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51.48</v>
      </c>
      <c r="Z44" s="138"/>
      <c r="AB44" s="4">
        <f>COUNTIF(AK7:AK37,"2")</f>
        <v>0</v>
      </c>
      <c r="AE44" s="4" t="e">
        <f>M46*23</f>
        <v>#VALUE!</v>
      </c>
      <c r="AG44" s="16" t="s">
        <v>225</v>
      </c>
      <c r="AH44" s="17">
        <f>(W41*1.2434/1850)*0.009645*AK49</f>
        <v>0</v>
      </c>
      <c r="AI44" s="17"/>
      <c r="AJ44" s="40"/>
      <c r="AK44" s="4">
        <v>1.24</v>
      </c>
      <c r="AL44" s="4" t="s">
        <v>226</v>
      </c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54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Y45" s="17">
        <f>IF((R40="BAGP2")*AND(R41&lt;&gt;""),VLOOKUP(R41,Barema!$T$5:$U$31,2),)</f>
        <v>0</v>
      </c>
      <c r="AZ45" s="4" t="s">
        <v>711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"/>
      <c r="S46" s="15"/>
      <c r="T46" s="54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 t="s">
        <v>348</v>
      </c>
      <c r="AC46" s="4"/>
      <c r="AF46" s="4">
        <f>M55*23</f>
        <v>0</v>
      </c>
      <c r="AG46" s="4"/>
      <c r="AH46" s="4"/>
      <c r="AI46" s="4"/>
      <c r="AK46" s="4">
        <v>2.48</v>
      </c>
      <c r="AL46" s="4" t="s">
        <v>162</v>
      </c>
      <c r="AY46" s="17">
        <f>IF((R40="BAGP3")*AND(R41&lt;&gt;""),VLOOKUP(R41,Barema!$W$5:$X$31,2),)</f>
        <v>0</v>
      </c>
      <c r="AZ46" s="4" t="s">
        <v>712</v>
      </c>
      <c r="BB46" s="2"/>
    </row>
    <row r="47" spans="1:54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K47" s="4"/>
      <c r="L47" s="4"/>
      <c r="M47" s="65" t="str">
        <f>IF(Jan!AH49=2,COUNTIF(S7:S37,"1"),"")</f>
        <v/>
      </c>
      <c r="N47" s="4"/>
      <c r="O47" s="4"/>
      <c r="P47" s="4"/>
      <c r="Q47" s="4"/>
      <c r="R47" s="1"/>
      <c r="S47" s="15"/>
      <c r="T47" s="80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233</v>
      </c>
      <c r="AY47" s="17">
        <f>IF((R40="BAGP4")*AND(R41&lt;&gt;""),VLOOKUP(R41,Barema!$BJ$39:$BK$66,2),)</f>
        <v>0</v>
      </c>
      <c r="AZ47" s="4" t="s">
        <v>713</v>
      </c>
      <c r="BB47" s="2"/>
    </row>
    <row r="48" spans="1:54" x14ac:dyDescent="0.2">
      <c r="C48" s="24" t="s">
        <v>234</v>
      </c>
      <c r="G48" s="92" t="s">
        <v>690</v>
      </c>
      <c r="H48" s="92"/>
      <c r="J48" s="15" t="str">
        <f>IF(Jan!AH49=2,"Morgenmaal","")</f>
        <v/>
      </c>
      <c r="K48" s="4"/>
      <c r="L48" s="4"/>
      <c r="M48" s="65" t="str">
        <f>IF(Jan!AH49=2,COUNTIF(T7:T37,"1"),"")</f>
        <v/>
      </c>
      <c r="N48" s="4"/>
      <c r="O48" s="4"/>
      <c r="P48" s="4"/>
      <c r="Q48" s="4"/>
      <c r="R48" s="1"/>
      <c r="S48" s="15"/>
      <c r="T48" s="80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VLOOKUP(AS48,Data!$F$80:$H$91,3)</f>
        <v>51.48</v>
      </c>
      <c r="AL48" s="4" t="s">
        <v>235</v>
      </c>
      <c r="AP48" s="256">
        <f>T41*Z40</f>
        <v>41817.226178999998</v>
      </c>
      <c r="AQ48" s="2">
        <f>AP48*0.075</f>
        <v>3136.2919634249997</v>
      </c>
      <c r="AR48" s="2">
        <f>AP48*0.0355</f>
        <v>1484.5115293544998</v>
      </c>
      <c r="AS48" s="142">
        <f>AP48-AQ48-AR48</f>
        <v>37196.422686220496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4"/>
      <c r="L49" s="4"/>
      <c r="M49" s="141">
        <f>IF(AND(O37="+",G48="x",AB47&gt;=0),AB51,0)</f>
        <v>0</v>
      </c>
      <c r="N49" s="4" t="s">
        <v>214</v>
      </c>
      <c r="O49" s="54"/>
      <c r="P49" s="1"/>
      <c r="Q49" s="1"/>
      <c r="R49" s="1"/>
      <c r="S49" s="15"/>
      <c r="T49" s="54"/>
      <c r="U49" s="325">
        <f>(M49*AK43/0.041666667)</f>
        <v>0</v>
      </c>
      <c r="V49" s="19" t="s">
        <v>215</v>
      </c>
      <c r="W49" s="106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48.52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F50" s="4"/>
      <c r="G50" s="4"/>
      <c r="J50" s="15" t="s">
        <v>240</v>
      </c>
      <c r="K50" s="4"/>
      <c r="L50" s="4"/>
      <c r="M50" s="118">
        <f>AM38</f>
        <v>0</v>
      </c>
      <c r="N50" s="4" t="s">
        <v>241</v>
      </c>
      <c r="O50" s="80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B50" s="4"/>
      <c r="AG50" s="4"/>
      <c r="AH50" s="4"/>
      <c r="AI50" s="4"/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F51" s="4"/>
      <c r="G51" s="133">
        <v>0</v>
      </c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F51" s="4"/>
      <c r="AG51" s="4" t="s">
        <v>153</v>
      </c>
      <c r="AH51" s="4">
        <f>AH42*0.00325*0.9645*AK49</f>
        <v>0</v>
      </c>
      <c r="AI51" s="4"/>
      <c r="AK51" s="62">
        <f>AK43/100*20</f>
        <v>2.1156143943792429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AK43/100*35</f>
        <v>3.7023251901636747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78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0.44075299882900887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F55" s="4"/>
      <c r="G55" s="121">
        <v>0</v>
      </c>
      <c r="H55" s="4"/>
      <c r="L55" s="70" t="s">
        <v>130</v>
      </c>
      <c r="M55" s="70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0.70520479812641423</v>
      </c>
      <c r="AL55" s="17" t="s">
        <v>251</v>
      </c>
      <c r="AM55" s="17"/>
      <c r="AN55" s="17"/>
      <c r="AO55" s="17"/>
      <c r="AP55" s="83"/>
      <c r="AY55" s="4">
        <f>SUM(AY7:AY53)</f>
        <v>19703.73</v>
      </c>
      <c r="BB55" s="2"/>
    </row>
    <row r="56" spans="3:54" x14ac:dyDescent="0.2">
      <c r="C56" s="166" t="s">
        <v>243</v>
      </c>
      <c r="E56" s="4"/>
      <c r="F56" s="1"/>
      <c r="G56" s="4"/>
      <c r="H56" s="4"/>
      <c r="W56" s="106"/>
      <c r="X56" s="1"/>
      <c r="BB56" s="2"/>
    </row>
    <row r="58" spans="3:54" x14ac:dyDescent="0.2">
      <c r="J58" s="4"/>
      <c r="K58" s="4"/>
      <c r="L58" s="4"/>
      <c r="M58" s="70"/>
      <c r="N58" s="70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70"/>
      <c r="N59" s="70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sBpb04Si74w6nvajjVGfJ1gALC2ZJnBUrhUD2wi0h3cDeLwR7rnZZBYUuQDH4SRAg24Fl8nNQuURo0kzx+X6VA==" saltValue="w5Ysjd9VFbhFS/1/rBEksQ==" spinCount="100000" sheet="1" objects="1" scenarios="1"/>
  <mergeCells count="2">
    <mergeCell ref="R40:S40"/>
    <mergeCell ref="R41:S41"/>
  </mergeCells>
  <phoneticPr fontId="0" type="noConversion"/>
  <conditionalFormatting sqref="F8:G9">
    <cfRule type="timePeriod" dxfId="15" priority="5" timePeriod="lastWeek">
      <formula>AND(TODAY()-ROUNDDOWN(F8,0)&gt;=(WEEKDAY(TODAY())),TODAY()-ROUNDDOWN(F8,0)&lt;(WEEKDAY(TODAY())+7))</formula>
    </cfRule>
  </conditionalFormatting>
  <conditionalFormatting sqref="F12:G16">
    <cfRule type="timePeriod" dxfId="14" priority="4" timePeriod="lastWeek">
      <formula>AND(TODAY()-ROUNDDOWN(F12,0)&gt;=(WEEKDAY(TODAY())),TODAY()-ROUNDDOWN(F12,0)&lt;(WEEKDAY(TODAY())+7))</formula>
    </cfRule>
  </conditionalFormatting>
  <conditionalFormatting sqref="F19:G23">
    <cfRule type="timePeriod" dxfId="13" priority="3" timePeriod="lastWeek">
      <formula>AND(TODAY()-ROUNDDOWN(F19,0)&gt;=(WEEKDAY(TODAY())),TODAY()-ROUNDDOWN(F19,0)&lt;(WEEKDAY(TODAY())+7))</formula>
    </cfRule>
  </conditionalFormatting>
  <conditionalFormatting sqref="F26:G30">
    <cfRule type="timePeriod" dxfId="12" priority="2" timePeriod="lastWeek">
      <formula>AND(TODAY()-ROUNDDOWN(F26,0)&gt;=(WEEKDAY(TODAY())),TODAY()-ROUNDDOWN(F26,0)&lt;(WEEKDAY(TODAY())+7))</formula>
    </cfRule>
  </conditionalFormatting>
  <conditionalFormatting sqref="F33:G37">
    <cfRule type="timePeriod" dxfId="11" priority="1" timePeriod="lastWeek">
      <formula>AND(TODAY()-ROUNDDOWN(F33,0)&gt;=(WEEKDAY(TODAY())),TODAY()-ROUNDDOWN(F33,0)&lt;(WEEKDAY(TODAY())+7))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13">
    <pageSetUpPr fitToPage="1"/>
  </sheetPr>
  <dimension ref="A1:XFC59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9" sqref="F9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5703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M4" s="259">
        <f>Okt!$G$55</f>
        <v>0</v>
      </c>
      <c r="P4" s="4" t="s">
        <v>111</v>
      </c>
      <c r="Q4" s="4"/>
      <c r="R4" s="4"/>
      <c r="S4" s="4"/>
      <c r="T4" s="4"/>
      <c r="U4" s="122">
        <f>IF(Okt!$H$48="x",Okt!$U$4,Okt!$G$51)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3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6" customFormat="1" x14ac:dyDescent="0.2">
      <c r="A7" s="374"/>
      <c r="B7" s="362" t="s">
        <v>173</v>
      </c>
      <c r="C7" s="402" t="s">
        <v>544</v>
      </c>
      <c r="D7" s="403"/>
      <c r="E7" s="403"/>
      <c r="F7" s="365"/>
      <c r="G7" s="365"/>
      <c r="H7" s="375"/>
      <c r="I7" s="375"/>
      <c r="J7" s="375"/>
      <c r="K7" s="375"/>
      <c r="L7" s="366">
        <f>(G7-F7)+(I7-H7)+(K7-J7)</f>
        <v>0</v>
      </c>
      <c r="M7" s="366">
        <f>IF(Okt!H48="x",(L7+Okt!M37)+M4,L7+M4)</f>
        <v>0</v>
      </c>
      <c r="N7" s="382">
        <f>IF(Okt!$H$48="x",AU7+Okt!$N$37,AU7)</f>
        <v>0</v>
      </c>
      <c r="O7" s="377" t="str">
        <f>IF((M7-N7-U$4)&lt;0,"-","+")</f>
        <v>+</v>
      </c>
      <c r="P7" s="383">
        <f>ABS(M7-N7-U$4)</f>
        <v>0</v>
      </c>
      <c r="Q7" s="364">
        <f t="shared" ref="Q7:Q36" si="0">AP7</f>
        <v>0</v>
      </c>
      <c r="R7" s="364">
        <f t="shared" ref="R7:R36" si="1">AQ7</f>
        <v>0</v>
      </c>
      <c r="S7" s="364">
        <f t="shared" ref="S7:S36" si="2">AR7</f>
        <v>0</v>
      </c>
      <c r="T7" s="364">
        <f t="shared" ref="T7:T36" si="3">AO7</f>
        <v>0</v>
      </c>
      <c r="U7" s="366">
        <f>L7</f>
        <v>0</v>
      </c>
      <c r="V7" s="366">
        <f>AE7</f>
        <v>0</v>
      </c>
      <c r="W7" s="366">
        <f>AF7</f>
        <v>0</v>
      </c>
      <c r="X7" s="364"/>
      <c r="Y7" s="365"/>
      <c r="Z7" s="365"/>
      <c r="AA7" s="368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68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68">
        <f>AA7+AB7</f>
        <v>0</v>
      </c>
      <c r="AD7" s="368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69">
        <f>AA7-AD7</f>
        <v>0</v>
      </c>
      <c r="AF7" s="368">
        <f>AH7+AD7</f>
        <v>0</v>
      </c>
      <c r="AG7" s="369">
        <f>AC7</f>
        <v>0</v>
      </c>
      <c r="AH7" s="368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70">
        <f>IF((D7&lt;&gt;""),VLOOKUP(D7,Data!$E$36:$H$53,4),)</f>
        <v>0</v>
      </c>
      <c r="AJ7" s="370">
        <f t="shared" ref="AJ7:AJ36" si="8">IF(U7&gt;0,L7,0)</f>
        <v>0</v>
      </c>
      <c r="AK7" s="371">
        <f t="shared" ref="AK7:AK36" si="9">IF(L7&gt;0,D7,0)</f>
        <v>0</v>
      </c>
      <c r="AL7" s="371">
        <f t="shared" ref="AL7:AL36" si="10">IF((E7="X")*OR(E7="x"),1,0)</f>
        <v>0</v>
      </c>
      <c r="AM7" s="372">
        <f t="shared" ref="AM7:AM36" si="11">IF(D7="F",1,)+IF((D7="VB")*AND(((G7-F7)+(I7-H7)+(K7-J7))&gt;0),1,0)</f>
        <v>0</v>
      </c>
      <c r="AN7" s="370">
        <f t="shared" ref="AN7:AN36" si="12">IF((D7="VB")*AND(((G7-F7)+(I7-H7)+(K7-J7))=0),"07:36",0)</f>
        <v>0</v>
      </c>
      <c r="AO7" s="373">
        <f t="shared" ref="AO7:AO36" si="13">IF((F7&lt;=$AQ$2)*AND(G7&gt;=$AQ$3),1,)+IF((H7&lt;=$AQ$2)*AND(I7&gt;=$AQ$3),1,)+IF((J7&lt;=$AQ$2)*AND(K7&gt;=$AQ$3),1,)</f>
        <v>0</v>
      </c>
      <c r="AP7" s="373">
        <f t="shared" ref="AP7:AP36" si="14">IF((F7&lt;=$AR$2)*AND(G7&gt;=$AR$3),1,)+IF((H7&lt;=$AR$2)*AND(I7&gt;=$AR$3),1,)+IF((J7&lt;=$AR$2)*AND(K7&gt;=$AR$3),1,)</f>
        <v>0</v>
      </c>
      <c r="AQ7" s="373">
        <f t="shared" ref="AQ7:AQ36" si="15">IF((F7&lt;=$AS$2)*AND(G7&gt;=$AS$3),1,)+IF((H7&lt;=$AS$2)*AND(I7&gt;=$AS$3),1,)+IF((J7&lt;=$AS$2)*AND(K7&gt;=$AS$3),1,)</f>
        <v>0</v>
      </c>
      <c r="AR7" s="373">
        <f t="shared" ref="AR7:AR36" si="16">IF((F7=$AT$2)*AND(G7&gt;=$AT$3),1,)+IF((H7=$AT$2)*AND(I7&gt;=$AT$3),1,)+IF((J7=$AT$2)*AND(K7&gt;=$AT$3),1,)</f>
        <v>0</v>
      </c>
      <c r="AS7" s="371">
        <f t="shared" ref="AS7:AS36" si="17">IF((E7="MO")*OR(E7="mo"),1,0)</f>
        <v>0</v>
      </c>
      <c r="AT7" s="371">
        <f t="shared" ref="AT7:AT36" si="18">IF((E7="M")*OR(E7="m"),1,0)</f>
        <v>0</v>
      </c>
      <c r="AU7" s="366">
        <f>IF(Data!$H$8="x",AV7,AW7)</f>
        <v>0</v>
      </c>
      <c r="AV7" s="366">
        <f t="shared" ref="AV7:AV36" si="19">AW7/2</f>
        <v>0</v>
      </c>
      <c r="AW7" s="366">
        <f>AX4</f>
        <v>0</v>
      </c>
      <c r="AX7" s="362" t="str">
        <f t="shared" ref="AX7:AX36" si="20">B7</f>
        <v>Zo</v>
      </c>
      <c r="AY7" s="371">
        <f>IF((R39="HAU1")*AND(R40&lt;&gt;""),VLOOKUP(R40,Barema!$Q$5:$R$31,2),)</f>
        <v>0</v>
      </c>
      <c r="AZ7" s="371" t="s">
        <v>0</v>
      </c>
      <c r="BA7" s="439"/>
    </row>
    <row r="8" spans="1:54" s="378" customFormat="1" x14ac:dyDescent="0.2">
      <c r="A8" s="309"/>
      <c r="B8" s="385" t="s">
        <v>175</v>
      </c>
      <c r="C8" s="386" t="s">
        <v>545</v>
      </c>
      <c r="D8" s="445" t="s">
        <v>79</v>
      </c>
      <c r="E8" s="387"/>
      <c r="F8" s="388"/>
      <c r="G8" s="388"/>
      <c r="H8" s="388"/>
      <c r="I8" s="388"/>
      <c r="J8" s="400"/>
      <c r="K8" s="400"/>
      <c r="L8" s="389">
        <f>(G8-F8)+(I8-H8)+(K8-J8)+AI8+AN8</f>
        <v>0.31666666666666665</v>
      </c>
      <c r="M8" s="389">
        <f>IF(H1="NIET-GEREGISTREERDE VERSIE","NUL",M7+L8)</f>
        <v>0.31666666666666665</v>
      </c>
      <c r="N8" s="390">
        <f>IF(Okt!$H$48="x",AU8+Okt!$N$37,AU8)</f>
        <v>0.31666666666666665</v>
      </c>
      <c r="O8" s="391" t="str">
        <f t="shared" ref="O8:O36" si="21">IF((M8-N8-U$4)&lt;0,"-","+")</f>
        <v>+</v>
      </c>
      <c r="P8" s="401">
        <f t="shared" ref="P8:P36" si="22">ABS(M8-N8-U$4)</f>
        <v>0</v>
      </c>
      <c r="Q8" s="387">
        <f t="shared" si="0"/>
        <v>0</v>
      </c>
      <c r="R8" s="387">
        <f t="shared" si="1"/>
        <v>0</v>
      </c>
      <c r="S8" s="387">
        <f t="shared" si="2"/>
        <v>0</v>
      </c>
      <c r="T8" s="387">
        <f t="shared" si="3"/>
        <v>0</v>
      </c>
      <c r="U8" s="389">
        <f>IF(D8="F",L8,0)</f>
        <v>0</v>
      </c>
      <c r="V8" s="389">
        <f t="shared" ref="V8:V36" si="23">AE8</f>
        <v>0</v>
      </c>
      <c r="W8" s="389">
        <f t="shared" ref="W8:W36" si="24">AF8</f>
        <v>0</v>
      </c>
      <c r="X8" s="387"/>
      <c r="Y8" s="388"/>
      <c r="Z8" s="388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0.31666666666666665</v>
      </c>
      <c r="AJ8" s="123">
        <f t="shared" si="8"/>
        <v>0</v>
      </c>
      <c r="AK8" s="4" t="str">
        <f t="shared" si="9"/>
        <v>FV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0.31666666666666665</v>
      </c>
      <c r="AV8" s="313">
        <f t="shared" si="19"/>
        <v>0.15833333333333333</v>
      </c>
      <c r="AW8" s="313">
        <f>IF(D8="V",AW7,(AW7+"07:36"))</f>
        <v>0.31666666666666665</v>
      </c>
      <c r="AX8" s="6" t="str">
        <f t="shared" si="20"/>
        <v>Ma</v>
      </c>
      <c r="AY8" s="4">
        <f>IF((R39="HAU2")*AND(R40&lt;&gt;""),VLOOKUP(R40,Barema!$T$5:$U$31,2),)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177</v>
      </c>
      <c r="C9" s="311" t="s">
        <v>546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 t="shared" ref="M9:M36" si="25">M8+L9</f>
        <v>0.31666666666666665</v>
      </c>
      <c r="N9" s="338">
        <f>IF(Okt!$H$48="x",AU9+Okt!$N$37,AU9)</f>
        <v>0.6333333333333333</v>
      </c>
      <c r="O9" s="337" t="str">
        <f t="shared" si="21"/>
        <v>-</v>
      </c>
      <c r="P9" s="339">
        <f t="shared" si="22"/>
        <v>0.31666666666666665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6" si="26">AA9+AB9</f>
        <v>0</v>
      </c>
      <c r="AD9" s="315">
        <f t="shared" si="6"/>
        <v>0</v>
      </c>
      <c r="AE9" s="316">
        <f t="shared" ref="AE9:AE36" si="27">AA9-AD9</f>
        <v>0</v>
      </c>
      <c r="AF9" s="315">
        <f t="shared" ref="AF9:AF36" si="28">AH9+AD9</f>
        <v>0</v>
      </c>
      <c r="AG9" s="316">
        <f t="shared" ref="AG9:AG36" si="29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0.6333333333333333</v>
      </c>
      <c r="AV9" s="313">
        <f t="shared" si="19"/>
        <v>0.31666666666666665</v>
      </c>
      <c r="AW9" s="313">
        <f>IF(D9="V",AW8,(AW8+"07:36"))</f>
        <v>0.6333333333333333</v>
      </c>
      <c r="AX9" s="6" t="str">
        <f t="shared" si="20"/>
        <v>Di</v>
      </c>
      <c r="AY9" s="4">
        <f>IF((R39="HAU3")*AND(R40&lt;&gt;""),VLOOKUP(R40,Barema!$W$5:$X$31,2),)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179</v>
      </c>
      <c r="C10" s="311" t="s">
        <v>547</v>
      </c>
      <c r="D10" s="312"/>
      <c r="E10" s="312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>M9+L10</f>
        <v>0.31666666666666665</v>
      </c>
      <c r="N10" s="338">
        <f>IF(Okt!$H$48="x",AU10+Okt!$N$37,AU10)</f>
        <v>0.95</v>
      </c>
      <c r="O10" s="337" t="str">
        <f t="shared" si="21"/>
        <v>-</v>
      </c>
      <c r="P10" s="339">
        <f t="shared" si="22"/>
        <v>0.6333333333333333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6"/>
        <v>0</v>
      </c>
      <c r="AD10" s="315">
        <f t="shared" si="6"/>
        <v>0</v>
      </c>
      <c r="AE10" s="316">
        <f t="shared" si="27"/>
        <v>0</v>
      </c>
      <c r="AF10" s="315">
        <f t="shared" si="28"/>
        <v>0</v>
      </c>
      <c r="AG10" s="316">
        <f t="shared" si="29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0.95</v>
      </c>
      <c r="AV10" s="313">
        <f t="shared" si="19"/>
        <v>0.47499999999999998</v>
      </c>
      <c r="AW10" s="313">
        <f>IF(D10="V",AW9,(AW9+"07:36"))</f>
        <v>0.95</v>
      </c>
      <c r="AX10" s="6" t="str">
        <f t="shared" si="20"/>
        <v>Wo</v>
      </c>
      <c r="AY10" s="4">
        <f>IF((R39="B1")*AND(R40&lt;&gt;""),VLOOKUP(R40,Barema!$Z$5:$AA$31,2),)</f>
        <v>0</v>
      </c>
      <c r="AZ10" s="4" t="s">
        <v>3</v>
      </c>
      <c r="BA10" s="102"/>
    </row>
    <row r="11" spans="1:54" s="378" customFormat="1" x14ac:dyDescent="0.2">
      <c r="A11" s="309"/>
      <c r="B11" s="6" t="s">
        <v>167</v>
      </c>
      <c r="C11" s="311" t="s">
        <v>548</v>
      </c>
      <c r="D11" s="312"/>
      <c r="E11" s="312"/>
      <c r="F11" s="274"/>
      <c r="G11" s="274"/>
      <c r="H11" s="310"/>
      <c r="I11" s="310"/>
      <c r="J11" s="336"/>
      <c r="K11" s="336"/>
      <c r="L11" s="313">
        <f>(G11-F11)+(I11-H11)+(K11-J11)+AI11+AN11</f>
        <v>0</v>
      </c>
      <c r="M11" s="313">
        <f>M10+L11</f>
        <v>0.31666666666666665</v>
      </c>
      <c r="N11" s="338">
        <f>IF(Okt!$H$48="x",AU11+Okt!$N$37,AU11)</f>
        <v>1.2666666666666666</v>
      </c>
      <c r="O11" s="337" t="str">
        <f t="shared" si="21"/>
        <v>-</v>
      </c>
      <c r="P11" s="339">
        <f t="shared" si="22"/>
        <v>0.95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>
        <f>IF(D11="F",L11,0)</f>
        <v>0</v>
      </c>
      <c r="V11" s="313">
        <f t="shared" si="23"/>
        <v>0</v>
      </c>
      <c r="W11" s="313">
        <f t="shared" si="24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6"/>
        <v>0</v>
      </c>
      <c r="AD11" s="315">
        <f t="shared" si="6"/>
        <v>0</v>
      </c>
      <c r="AE11" s="316">
        <f t="shared" si="27"/>
        <v>0</v>
      </c>
      <c r="AF11" s="315">
        <f t="shared" si="28"/>
        <v>0</v>
      </c>
      <c r="AG11" s="316">
        <f t="shared" si="29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1.2666666666666666</v>
      </c>
      <c r="AV11" s="313">
        <f t="shared" si="19"/>
        <v>0.6333333333333333</v>
      </c>
      <c r="AW11" s="313">
        <f>IF(D11="V",AW10,(AW10+"07:36"))</f>
        <v>1.2666666666666666</v>
      </c>
      <c r="AX11" s="6" t="str">
        <f t="shared" si="20"/>
        <v>Do</v>
      </c>
      <c r="AY11" s="4">
        <f>IF((R39="B2")*AND(R40&lt;&gt;""),VLOOKUP(R40,Barema!$AC$5:$AD$34,2),)</f>
        <v>0</v>
      </c>
      <c r="AZ11" s="4" t="s">
        <v>4</v>
      </c>
      <c r="BA11" s="102"/>
    </row>
    <row r="12" spans="1:54" s="378" customFormat="1" x14ac:dyDescent="0.2">
      <c r="A12" s="309"/>
      <c r="B12" s="6" t="s">
        <v>169</v>
      </c>
      <c r="C12" s="311" t="s">
        <v>549</v>
      </c>
      <c r="D12" s="312"/>
      <c r="E12" s="312"/>
      <c r="F12" s="274"/>
      <c r="G12" s="274"/>
      <c r="H12" s="310"/>
      <c r="I12" s="310"/>
      <c r="J12" s="336"/>
      <c r="K12" s="336"/>
      <c r="L12" s="313">
        <f>(G12-F12)+(I12-H12)+(K12-J12)+AI12+AN12</f>
        <v>0</v>
      </c>
      <c r="M12" s="313">
        <f t="shared" si="25"/>
        <v>0.31666666666666665</v>
      </c>
      <c r="N12" s="338">
        <f>IF(Okt!$H$48="x",AU12+Okt!$N$37,AU12)</f>
        <v>1.5833333333333333</v>
      </c>
      <c r="O12" s="337" t="str">
        <f t="shared" si="21"/>
        <v>-</v>
      </c>
      <c r="P12" s="339">
        <f t="shared" si="22"/>
        <v>1.2666666666666666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>
        <f>IF(D12="F",L12,0)</f>
        <v>0</v>
      </c>
      <c r="V12" s="313">
        <f t="shared" si="23"/>
        <v>0</v>
      </c>
      <c r="W12" s="313">
        <f t="shared" si="24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6"/>
        <v>0</v>
      </c>
      <c r="AD12" s="315">
        <f t="shared" si="6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1.5833333333333333</v>
      </c>
      <c r="AV12" s="313">
        <f t="shared" si="19"/>
        <v>0.79166666666666663</v>
      </c>
      <c r="AW12" s="313">
        <f>IF(D12="V",AW11,(AW11+"07:36"))</f>
        <v>1.5833333333333333</v>
      </c>
      <c r="AX12" s="6" t="str">
        <f t="shared" si="20"/>
        <v>Vr</v>
      </c>
      <c r="AY12" s="4">
        <f>IF((R39="B3")*AND(R40&lt;&gt;""),VLOOKUP(R40,Barema!$AF$5:$AG$34,2),)</f>
        <v>0</v>
      </c>
      <c r="AZ12" s="4" t="s">
        <v>5</v>
      </c>
      <c r="BA12" s="102"/>
    </row>
    <row r="13" spans="1:54" s="376" customFormat="1" x14ac:dyDescent="0.2">
      <c r="A13" s="374"/>
      <c r="B13" s="362" t="s">
        <v>171</v>
      </c>
      <c r="C13" s="363" t="s">
        <v>550</v>
      </c>
      <c r="D13" s="364"/>
      <c r="E13" s="364"/>
      <c r="F13" s="365"/>
      <c r="G13" s="365"/>
      <c r="H13" s="365"/>
      <c r="I13" s="365"/>
      <c r="J13" s="375"/>
      <c r="K13" s="375"/>
      <c r="L13" s="366">
        <f>(G13-F13)+(I13-H13)+(K13-J13)</f>
        <v>0</v>
      </c>
      <c r="M13" s="366">
        <f t="shared" si="25"/>
        <v>0.31666666666666665</v>
      </c>
      <c r="N13" s="382">
        <f>IF(Okt!$H$48="x",AU13+Okt!$N$37,AU13)</f>
        <v>1.5833333333333333</v>
      </c>
      <c r="O13" s="377" t="str">
        <f t="shared" si="21"/>
        <v>-</v>
      </c>
      <c r="P13" s="383">
        <f t="shared" si="22"/>
        <v>1.2666666666666666</v>
      </c>
      <c r="Q13" s="364">
        <f t="shared" si="0"/>
        <v>0</v>
      </c>
      <c r="R13" s="364">
        <f t="shared" si="1"/>
        <v>0</v>
      </c>
      <c r="S13" s="364">
        <f t="shared" si="2"/>
        <v>0</v>
      </c>
      <c r="T13" s="364">
        <f t="shared" si="3"/>
        <v>0</v>
      </c>
      <c r="U13" s="366">
        <f>L13</f>
        <v>0</v>
      </c>
      <c r="V13" s="366">
        <f t="shared" si="23"/>
        <v>0</v>
      </c>
      <c r="W13" s="366">
        <f t="shared" si="24"/>
        <v>0</v>
      </c>
      <c r="X13" s="364"/>
      <c r="Y13" s="365"/>
      <c r="Z13" s="365"/>
      <c r="AA13" s="368">
        <f t="shared" si="4"/>
        <v>0</v>
      </c>
      <c r="AB13" s="368">
        <f t="shared" si="5"/>
        <v>0</v>
      </c>
      <c r="AC13" s="368">
        <f t="shared" si="26"/>
        <v>0</v>
      </c>
      <c r="AD13" s="368">
        <f t="shared" si="6"/>
        <v>0</v>
      </c>
      <c r="AE13" s="369">
        <f t="shared" si="27"/>
        <v>0</v>
      </c>
      <c r="AF13" s="368">
        <f t="shared" si="28"/>
        <v>0</v>
      </c>
      <c r="AG13" s="369">
        <f t="shared" si="29"/>
        <v>0</v>
      </c>
      <c r="AH13" s="368">
        <f t="shared" si="7"/>
        <v>0</v>
      </c>
      <c r="AI13" s="370">
        <f>IF((D13&lt;&gt;""),VLOOKUP(D13,Data!$E$36:$H$53,4),)</f>
        <v>0</v>
      </c>
      <c r="AJ13" s="370">
        <f t="shared" si="8"/>
        <v>0</v>
      </c>
      <c r="AK13" s="371">
        <f t="shared" si="9"/>
        <v>0</v>
      </c>
      <c r="AL13" s="371">
        <f t="shared" si="10"/>
        <v>0</v>
      </c>
      <c r="AM13" s="372">
        <f t="shared" si="11"/>
        <v>0</v>
      </c>
      <c r="AN13" s="370">
        <f t="shared" si="12"/>
        <v>0</v>
      </c>
      <c r="AO13" s="373">
        <f t="shared" si="13"/>
        <v>0</v>
      </c>
      <c r="AP13" s="373">
        <f t="shared" si="14"/>
        <v>0</v>
      </c>
      <c r="AQ13" s="373">
        <f t="shared" si="15"/>
        <v>0</v>
      </c>
      <c r="AR13" s="373">
        <f t="shared" si="16"/>
        <v>0</v>
      </c>
      <c r="AS13" s="371">
        <f t="shared" si="17"/>
        <v>0</v>
      </c>
      <c r="AT13" s="371">
        <f t="shared" si="18"/>
        <v>0</v>
      </c>
      <c r="AU13" s="366">
        <f>IF(Data!$H$8="x",AV13,AW13)</f>
        <v>1.5833333333333333</v>
      </c>
      <c r="AV13" s="366">
        <f t="shared" si="19"/>
        <v>0.79166666666666663</v>
      </c>
      <c r="AW13" s="366">
        <f>AW12</f>
        <v>1.5833333333333333</v>
      </c>
      <c r="AX13" s="362" t="str">
        <f t="shared" si="20"/>
        <v>Za</v>
      </c>
      <c r="AY13" s="371">
        <f>IF((R39="B4")*AND(R40&lt;&gt;""),VLOOKUP(R40,Barema!$AI$5:$AJ$35,2),)</f>
        <v>0</v>
      </c>
      <c r="AZ13" s="371" t="s">
        <v>6</v>
      </c>
      <c r="BA13" s="439"/>
    </row>
    <row r="14" spans="1:54" s="376" customFormat="1" x14ac:dyDescent="0.2">
      <c r="A14" s="374"/>
      <c r="B14" s="362" t="s">
        <v>173</v>
      </c>
      <c r="C14" s="363" t="s">
        <v>551</v>
      </c>
      <c r="D14" s="364"/>
      <c r="E14" s="364"/>
      <c r="F14" s="365"/>
      <c r="G14" s="365"/>
      <c r="H14" s="365"/>
      <c r="I14" s="365"/>
      <c r="J14" s="375"/>
      <c r="K14" s="375"/>
      <c r="L14" s="366">
        <f>(G14-F14)+(I14-H14)+(K14-J14)</f>
        <v>0</v>
      </c>
      <c r="M14" s="366">
        <f t="shared" si="25"/>
        <v>0.31666666666666665</v>
      </c>
      <c r="N14" s="382">
        <f>IF(Okt!$H$48="x",AU14+Okt!$N$37,AU14)</f>
        <v>1.5833333333333333</v>
      </c>
      <c r="O14" s="377" t="str">
        <f t="shared" si="21"/>
        <v>-</v>
      </c>
      <c r="P14" s="383">
        <f t="shared" si="22"/>
        <v>1.2666666666666666</v>
      </c>
      <c r="Q14" s="364">
        <f t="shared" si="0"/>
        <v>0</v>
      </c>
      <c r="R14" s="364">
        <f t="shared" si="1"/>
        <v>0</v>
      </c>
      <c r="S14" s="364">
        <f t="shared" si="2"/>
        <v>0</v>
      </c>
      <c r="T14" s="364">
        <f t="shared" si="3"/>
        <v>0</v>
      </c>
      <c r="U14" s="366">
        <f>L14</f>
        <v>0</v>
      </c>
      <c r="V14" s="366">
        <f t="shared" si="23"/>
        <v>0</v>
      </c>
      <c r="W14" s="366">
        <f t="shared" si="24"/>
        <v>0</v>
      </c>
      <c r="X14" s="364"/>
      <c r="Y14" s="365"/>
      <c r="Z14" s="365"/>
      <c r="AA14" s="368">
        <f t="shared" si="4"/>
        <v>0</v>
      </c>
      <c r="AB14" s="368">
        <f t="shared" si="5"/>
        <v>0</v>
      </c>
      <c r="AC14" s="368">
        <f t="shared" si="26"/>
        <v>0</v>
      </c>
      <c r="AD14" s="368">
        <f t="shared" si="6"/>
        <v>0</v>
      </c>
      <c r="AE14" s="369">
        <f t="shared" si="27"/>
        <v>0</v>
      </c>
      <c r="AF14" s="368">
        <f t="shared" si="28"/>
        <v>0</v>
      </c>
      <c r="AG14" s="369">
        <f t="shared" si="29"/>
        <v>0</v>
      </c>
      <c r="AH14" s="368">
        <f t="shared" si="7"/>
        <v>0</v>
      </c>
      <c r="AI14" s="370">
        <f>IF((D14&lt;&gt;""),VLOOKUP(D14,Data!$E$36:$H$53,4),)</f>
        <v>0</v>
      </c>
      <c r="AJ14" s="370">
        <f t="shared" si="8"/>
        <v>0</v>
      </c>
      <c r="AK14" s="371">
        <f t="shared" si="9"/>
        <v>0</v>
      </c>
      <c r="AL14" s="371">
        <f t="shared" si="10"/>
        <v>0</v>
      </c>
      <c r="AM14" s="372">
        <f t="shared" si="11"/>
        <v>0</v>
      </c>
      <c r="AN14" s="370">
        <f t="shared" si="12"/>
        <v>0</v>
      </c>
      <c r="AO14" s="373">
        <f t="shared" si="13"/>
        <v>0</v>
      </c>
      <c r="AP14" s="373">
        <f t="shared" si="14"/>
        <v>0</v>
      </c>
      <c r="AQ14" s="373">
        <f t="shared" si="15"/>
        <v>0</v>
      </c>
      <c r="AR14" s="373">
        <f t="shared" si="16"/>
        <v>0</v>
      </c>
      <c r="AS14" s="371">
        <f t="shared" si="17"/>
        <v>0</v>
      </c>
      <c r="AT14" s="371">
        <f t="shared" si="18"/>
        <v>0</v>
      </c>
      <c r="AU14" s="366">
        <f>IF(Data!$H$8="x",AV14,AW14)</f>
        <v>1.5833333333333333</v>
      </c>
      <c r="AV14" s="366">
        <f t="shared" si="19"/>
        <v>0.79166666666666663</v>
      </c>
      <c r="AW14" s="366">
        <f>AW13</f>
        <v>1.5833333333333333</v>
      </c>
      <c r="AX14" s="362" t="str">
        <f t="shared" si="20"/>
        <v>Zo</v>
      </c>
      <c r="AY14" s="371">
        <f>IF((R39="B5")*AND(R40&lt;&gt;""),VLOOKUP(R40,Barema!$AL$5:$AM$35,2),)</f>
        <v>0</v>
      </c>
      <c r="AZ14" s="371" t="s">
        <v>7</v>
      </c>
      <c r="BA14" s="439"/>
    </row>
    <row r="15" spans="1:54" s="378" customFormat="1" x14ac:dyDescent="0.2">
      <c r="A15" s="309"/>
      <c r="B15" s="6" t="s">
        <v>175</v>
      </c>
      <c r="C15" s="311" t="s">
        <v>552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 t="shared" si="25"/>
        <v>0.31666666666666665</v>
      </c>
      <c r="N15" s="338">
        <f>IF(Okt!$H$48="x",AU15+Okt!$N$37,AU15)</f>
        <v>1.9</v>
      </c>
      <c r="O15" s="337" t="str">
        <f t="shared" si="21"/>
        <v>-</v>
      </c>
      <c r="P15" s="339">
        <f t="shared" si="22"/>
        <v>1.5833333333333333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6"/>
        <v>0</v>
      </c>
      <c r="AD15" s="315">
        <f t="shared" si="6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1.9</v>
      </c>
      <c r="AV15" s="313">
        <f t="shared" si="19"/>
        <v>0.95</v>
      </c>
      <c r="AW15" s="313">
        <f>IF(D15="V",AW14,(AW14+"07:36"))</f>
        <v>1.9</v>
      </c>
      <c r="AX15" s="6" t="str">
        <f t="shared" si="20"/>
        <v>Ma</v>
      </c>
      <c r="AY15" s="4">
        <f>IF((R39="M1.1")*AND(R40&lt;&gt;""),VLOOKUP(R40,Barema!$AO$5:$AP$34,2),)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177</v>
      </c>
      <c r="C16" s="311" t="s">
        <v>553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 t="shared" si="25"/>
        <v>0.31666666666666665</v>
      </c>
      <c r="N16" s="338">
        <f>IF(Okt!$H$48="x",AU16+Okt!$N$37,AU16)</f>
        <v>2.2166666666666668</v>
      </c>
      <c r="O16" s="337" t="str">
        <f t="shared" si="21"/>
        <v>-</v>
      </c>
      <c r="P16" s="339">
        <f t="shared" si="22"/>
        <v>1.9000000000000001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6"/>
        <v>0</v>
      </c>
      <c r="AD16" s="315">
        <f t="shared" si="6"/>
        <v>0</v>
      </c>
      <c r="AE16" s="316">
        <f t="shared" si="27"/>
        <v>0</v>
      </c>
      <c r="AF16" s="315">
        <f t="shared" si="28"/>
        <v>0</v>
      </c>
      <c r="AG16" s="316">
        <f t="shared" si="29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2.2166666666666668</v>
      </c>
      <c r="AV16" s="313">
        <f t="shared" si="19"/>
        <v>1.1083333333333334</v>
      </c>
      <c r="AW16" s="313">
        <f>IF(D16="V",AW15,(AW15+"07:36"))</f>
        <v>2.2166666666666668</v>
      </c>
      <c r="AX16" s="6" t="str">
        <f t="shared" si="20"/>
        <v>Di</v>
      </c>
      <c r="AY16" s="4">
        <f>IF((R39="M1.2")*AND(R40&lt;&gt;""),VLOOKUP(R40,Barema!$AR$5:$AS$34,2),)</f>
        <v>0</v>
      </c>
      <c r="AZ16" s="4" t="s">
        <v>9</v>
      </c>
      <c r="BA16" s="102"/>
    </row>
    <row r="17" spans="1:53" s="378" customFormat="1" x14ac:dyDescent="0.2">
      <c r="A17" s="309"/>
      <c r="B17" s="385" t="s">
        <v>179</v>
      </c>
      <c r="C17" s="386" t="s">
        <v>554</v>
      </c>
      <c r="D17" s="387" t="s">
        <v>79</v>
      </c>
      <c r="E17" s="387"/>
      <c r="F17" s="388"/>
      <c r="G17" s="388"/>
      <c r="H17" s="388"/>
      <c r="I17" s="388"/>
      <c r="J17" s="400"/>
      <c r="K17" s="400"/>
      <c r="L17" s="389">
        <f>(G17-F17)+(I17-H17)+(K17-J17)+AI17+AN17</f>
        <v>0.31666666666666665</v>
      </c>
      <c r="M17" s="389">
        <f>M16+L17</f>
        <v>0.6333333333333333</v>
      </c>
      <c r="N17" s="390">
        <f>IF(Okt!$H$48="x",AU17+Okt!$N$37,AU17)</f>
        <v>2.5333333333333332</v>
      </c>
      <c r="O17" s="391" t="str">
        <f t="shared" si="21"/>
        <v>-</v>
      </c>
      <c r="P17" s="401">
        <f t="shared" si="22"/>
        <v>1.9</v>
      </c>
      <c r="Q17" s="387">
        <f t="shared" si="0"/>
        <v>0</v>
      </c>
      <c r="R17" s="387">
        <f t="shared" si="1"/>
        <v>0</v>
      </c>
      <c r="S17" s="387">
        <f t="shared" si="2"/>
        <v>0</v>
      </c>
      <c r="T17" s="387">
        <f t="shared" si="3"/>
        <v>0</v>
      </c>
      <c r="U17" s="389">
        <f>IF(D17="F",L17,0)</f>
        <v>0</v>
      </c>
      <c r="V17" s="389">
        <f t="shared" si="23"/>
        <v>0</v>
      </c>
      <c r="W17" s="389">
        <f t="shared" si="24"/>
        <v>0</v>
      </c>
      <c r="X17" s="387"/>
      <c r="Y17" s="388"/>
      <c r="Z17" s="388"/>
      <c r="AA17" s="315">
        <f t="shared" si="4"/>
        <v>0</v>
      </c>
      <c r="AB17" s="315">
        <f t="shared" si="5"/>
        <v>0</v>
      </c>
      <c r="AC17" s="315">
        <f t="shared" si="26"/>
        <v>0</v>
      </c>
      <c r="AD17" s="315">
        <f t="shared" si="6"/>
        <v>0</v>
      </c>
      <c r="AE17" s="316">
        <f t="shared" si="27"/>
        <v>0</v>
      </c>
      <c r="AF17" s="315">
        <f t="shared" si="28"/>
        <v>0</v>
      </c>
      <c r="AG17" s="316">
        <f t="shared" si="29"/>
        <v>0</v>
      </c>
      <c r="AH17" s="315">
        <f t="shared" si="7"/>
        <v>0</v>
      </c>
      <c r="AI17" s="123">
        <f>IF((D17&lt;&gt;""),VLOOKUP(D17,Data!$E$36:$H$53,4),)</f>
        <v>0.31666666666666665</v>
      </c>
      <c r="AJ17" s="123">
        <f t="shared" si="8"/>
        <v>0</v>
      </c>
      <c r="AK17" s="4" t="str">
        <f t="shared" si="9"/>
        <v>FV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2.5333333333333332</v>
      </c>
      <c r="AV17" s="313">
        <f t="shared" si="19"/>
        <v>1.2666666666666666</v>
      </c>
      <c r="AW17" s="313">
        <f>IF(D17="V",AW16,(AW16+"07:36"))</f>
        <v>2.5333333333333332</v>
      </c>
      <c r="AX17" s="6" t="str">
        <f t="shared" si="20"/>
        <v>Wo</v>
      </c>
      <c r="AY17" s="4">
        <f>IF((R39="M2.1")*AND(R40&lt;&gt;""),VLOOKUP(R40,Barema!$AU$5:$AV$34,2),)</f>
        <v>0</v>
      </c>
      <c r="AZ17" s="4" t="s">
        <v>10</v>
      </c>
      <c r="BA17" s="102"/>
    </row>
    <row r="18" spans="1:53" s="378" customFormat="1" x14ac:dyDescent="0.2">
      <c r="A18" s="309"/>
      <c r="B18" s="6" t="s">
        <v>167</v>
      </c>
      <c r="C18" s="311" t="s">
        <v>555</v>
      </c>
      <c r="D18" s="312"/>
      <c r="E18" s="312"/>
      <c r="F18" s="274"/>
      <c r="G18" s="274"/>
      <c r="H18" s="310"/>
      <c r="I18" s="310"/>
      <c r="J18" s="336"/>
      <c r="K18" s="336"/>
      <c r="L18" s="313">
        <f>(G18-F18)+(I18-H18)+(K18-J18)+AI18+AN18</f>
        <v>0</v>
      </c>
      <c r="M18" s="313">
        <f>M17+L18</f>
        <v>0.6333333333333333</v>
      </c>
      <c r="N18" s="338">
        <f>IF(Okt!$H$48="x",AU18+Okt!$N$37,AU18)</f>
        <v>2.8499999999999996</v>
      </c>
      <c r="O18" s="337" t="str">
        <f t="shared" si="21"/>
        <v>-</v>
      </c>
      <c r="P18" s="339">
        <f t="shared" si="22"/>
        <v>2.2166666666666663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3"/>
        <v>0</v>
      </c>
      <c r="W18" s="313">
        <f t="shared" si="24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6"/>
        <v>0</v>
      </c>
      <c r="AD18" s="315">
        <f t="shared" si="6"/>
        <v>0</v>
      </c>
      <c r="AE18" s="316">
        <f t="shared" si="27"/>
        <v>0</v>
      </c>
      <c r="AF18" s="315">
        <f t="shared" si="28"/>
        <v>0</v>
      </c>
      <c r="AG18" s="316">
        <f t="shared" si="29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2.8499999999999996</v>
      </c>
      <c r="AV18" s="313">
        <f t="shared" si="19"/>
        <v>1.4249999999999998</v>
      </c>
      <c r="AW18" s="313">
        <f>IF(D18="V",AW17,(AW17+"07:36"))</f>
        <v>2.8499999999999996</v>
      </c>
      <c r="AX18" s="6" t="str">
        <f t="shared" si="20"/>
        <v>Do</v>
      </c>
      <c r="AY18" s="4">
        <f>IF((R39="M2.2")*AND(R40&lt;&gt;""),VLOOKUP(R40,Barema!$AX$5:$AY$34,2),)</f>
        <v>0</v>
      </c>
      <c r="AZ18" s="4" t="s">
        <v>11</v>
      </c>
      <c r="BA18" s="102"/>
    </row>
    <row r="19" spans="1:53" s="378" customFormat="1" x14ac:dyDescent="0.2">
      <c r="A19" s="309"/>
      <c r="B19" s="6" t="s">
        <v>169</v>
      </c>
      <c r="C19" s="311" t="s">
        <v>556</v>
      </c>
      <c r="D19" s="312"/>
      <c r="E19" s="312"/>
      <c r="F19" s="274"/>
      <c r="G19" s="274"/>
      <c r="H19" s="310"/>
      <c r="I19" s="310"/>
      <c r="J19" s="336"/>
      <c r="K19" s="336"/>
      <c r="L19" s="313">
        <f>(G19-F19)+(I19-H19)+(K19-J19)+AI19+AN19</f>
        <v>0</v>
      </c>
      <c r="M19" s="313">
        <f t="shared" si="25"/>
        <v>0.6333333333333333</v>
      </c>
      <c r="N19" s="338">
        <f>IF(Okt!$H$48="x",AU19+Okt!$N$37,AU19)</f>
        <v>3.1666666666666661</v>
      </c>
      <c r="O19" s="337" t="str">
        <f t="shared" si="21"/>
        <v>-</v>
      </c>
      <c r="P19" s="339">
        <f t="shared" si="22"/>
        <v>2.5333333333333328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3.1666666666666661</v>
      </c>
      <c r="AV19" s="313">
        <f t="shared" si="19"/>
        <v>1.583333333333333</v>
      </c>
      <c r="AW19" s="313">
        <f>IF(D19="V",AW18,(AW18+"07:36"))</f>
        <v>3.1666666666666661</v>
      </c>
      <c r="AX19" s="6" t="str">
        <f t="shared" si="20"/>
        <v>Vr</v>
      </c>
      <c r="AY19" s="4">
        <f>IF((R39="M3.1")*AND(R40&lt;&gt;""),VLOOKUP(R40,Barema!$BA$5:$BB$34,2),)</f>
        <v>0</v>
      </c>
      <c r="AZ19" s="4" t="s">
        <v>12</v>
      </c>
      <c r="BA19" s="102"/>
    </row>
    <row r="20" spans="1:53" s="376" customFormat="1" x14ac:dyDescent="0.2">
      <c r="A20" s="374"/>
      <c r="B20" s="362" t="s">
        <v>171</v>
      </c>
      <c r="C20" s="363" t="s">
        <v>557</v>
      </c>
      <c r="D20" s="364"/>
      <c r="E20" s="364"/>
      <c r="F20" s="365"/>
      <c r="G20" s="365"/>
      <c r="H20" s="365"/>
      <c r="I20" s="365"/>
      <c r="J20" s="375"/>
      <c r="K20" s="375"/>
      <c r="L20" s="366">
        <f>(G20-F20)+(I20-H20)+(K20-J20)</f>
        <v>0</v>
      </c>
      <c r="M20" s="366">
        <f t="shared" si="25"/>
        <v>0.6333333333333333</v>
      </c>
      <c r="N20" s="382">
        <f>IF(Okt!$H$48="x",AU20+Okt!$N$37,AU20)</f>
        <v>3.1666666666666661</v>
      </c>
      <c r="O20" s="377" t="str">
        <f t="shared" si="21"/>
        <v>-</v>
      </c>
      <c r="P20" s="383">
        <f t="shared" si="22"/>
        <v>2.5333333333333328</v>
      </c>
      <c r="Q20" s="364">
        <f t="shared" si="0"/>
        <v>0</v>
      </c>
      <c r="R20" s="364">
        <f t="shared" si="1"/>
        <v>0</v>
      </c>
      <c r="S20" s="364">
        <f t="shared" si="2"/>
        <v>0</v>
      </c>
      <c r="T20" s="364">
        <f t="shared" si="3"/>
        <v>0</v>
      </c>
      <c r="U20" s="366">
        <f>L20</f>
        <v>0</v>
      </c>
      <c r="V20" s="366">
        <f t="shared" si="23"/>
        <v>0</v>
      </c>
      <c r="W20" s="366">
        <f t="shared" si="24"/>
        <v>0</v>
      </c>
      <c r="X20" s="364"/>
      <c r="Y20" s="365"/>
      <c r="Z20" s="365"/>
      <c r="AA20" s="368">
        <f t="shared" si="4"/>
        <v>0</v>
      </c>
      <c r="AB20" s="368">
        <f t="shared" si="5"/>
        <v>0</v>
      </c>
      <c r="AC20" s="368">
        <f t="shared" si="26"/>
        <v>0</v>
      </c>
      <c r="AD20" s="368">
        <f t="shared" si="6"/>
        <v>0</v>
      </c>
      <c r="AE20" s="369">
        <f t="shared" si="27"/>
        <v>0</v>
      </c>
      <c r="AF20" s="368">
        <f t="shared" si="28"/>
        <v>0</v>
      </c>
      <c r="AG20" s="369">
        <f t="shared" si="29"/>
        <v>0</v>
      </c>
      <c r="AH20" s="368">
        <f t="shared" si="7"/>
        <v>0</v>
      </c>
      <c r="AI20" s="370">
        <f>IF((D20&lt;&gt;""),VLOOKUP(D20,Data!$E$36:$H$53,4),)</f>
        <v>0</v>
      </c>
      <c r="AJ20" s="370">
        <f t="shared" si="8"/>
        <v>0</v>
      </c>
      <c r="AK20" s="371">
        <f t="shared" si="9"/>
        <v>0</v>
      </c>
      <c r="AL20" s="371">
        <f t="shared" si="10"/>
        <v>0</v>
      </c>
      <c r="AM20" s="372">
        <f t="shared" si="11"/>
        <v>0</v>
      </c>
      <c r="AN20" s="370">
        <f t="shared" si="12"/>
        <v>0</v>
      </c>
      <c r="AO20" s="373">
        <f t="shared" si="13"/>
        <v>0</v>
      </c>
      <c r="AP20" s="373">
        <f t="shared" si="14"/>
        <v>0</v>
      </c>
      <c r="AQ20" s="373">
        <f t="shared" si="15"/>
        <v>0</v>
      </c>
      <c r="AR20" s="373">
        <f t="shared" si="16"/>
        <v>0</v>
      </c>
      <c r="AS20" s="371">
        <f t="shared" si="17"/>
        <v>0</v>
      </c>
      <c r="AT20" s="371">
        <f t="shared" si="18"/>
        <v>0</v>
      </c>
      <c r="AU20" s="366">
        <f>IF(Data!$H$8="x",AV20,AW20)</f>
        <v>3.1666666666666661</v>
      </c>
      <c r="AV20" s="366">
        <f t="shared" si="19"/>
        <v>1.583333333333333</v>
      </c>
      <c r="AW20" s="366">
        <f>AW19</f>
        <v>3.1666666666666661</v>
      </c>
      <c r="AX20" s="362" t="str">
        <f t="shared" si="20"/>
        <v>Za</v>
      </c>
      <c r="AY20" s="371">
        <f>IF((R39="M3.2")*AND(R40&lt;&gt;""),VLOOKUP(R40,Barema!$BD$5:$BE$34,2),)</f>
        <v>0</v>
      </c>
      <c r="AZ20" s="371" t="s">
        <v>13</v>
      </c>
      <c r="BA20" s="439"/>
    </row>
    <row r="21" spans="1:53" s="376" customFormat="1" x14ac:dyDescent="0.2">
      <c r="A21" s="374"/>
      <c r="B21" s="362" t="s">
        <v>173</v>
      </c>
      <c r="C21" s="363" t="s">
        <v>558</v>
      </c>
      <c r="D21" s="364"/>
      <c r="E21" s="403"/>
      <c r="F21" s="365"/>
      <c r="G21" s="365"/>
      <c r="H21" s="365"/>
      <c r="I21" s="365"/>
      <c r="J21" s="375"/>
      <c r="K21" s="375"/>
      <c r="L21" s="366">
        <f>(G21-F21)+(I21-H21)+(K21-J21)</f>
        <v>0</v>
      </c>
      <c r="M21" s="366">
        <f t="shared" si="25"/>
        <v>0.6333333333333333</v>
      </c>
      <c r="N21" s="382">
        <f>IF(Okt!$H$48="x",AU21+Okt!$N$37,AU21)</f>
        <v>3.1666666666666661</v>
      </c>
      <c r="O21" s="377" t="str">
        <f t="shared" si="21"/>
        <v>-</v>
      </c>
      <c r="P21" s="383">
        <f t="shared" si="22"/>
        <v>2.5333333333333328</v>
      </c>
      <c r="Q21" s="364">
        <f t="shared" si="0"/>
        <v>0</v>
      </c>
      <c r="R21" s="364">
        <f t="shared" si="1"/>
        <v>0</v>
      </c>
      <c r="S21" s="364">
        <f t="shared" si="2"/>
        <v>0</v>
      </c>
      <c r="T21" s="364">
        <f t="shared" si="3"/>
        <v>0</v>
      </c>
      <c r="U21" s="366">
        <f>L21</f>
        <v>0</v>
      </c>
      <c r="V21" s="366">
        <f t="shared" si="23"/>
        <v>0</v>
      </c>
      <c r="W21" s="366">
        <f t="shared" si="24"/>
        <v>0</v>
      </c>
      <c r="X21" s="364"/>
      <c r="Y21" s="365"/>
      <c r="Z21" s="365"/>
      <c r="AA21" s="368">
        <f t="shared" si="4"/>
        <v>0</v>
      </c>
      <c r="AB21" s="368">
        <f t="shared" si="5"/>
        <v>0</v>
      </c>
      <c r="AC21" s="368">
        <f t="shared" si="26"/>
        <v>0</v>
      </c>
      <c r="AD21" s="368">
        <f t="shared" si="6"/>
        <v>0</v>
      </c>
      <c r="AE21" s="369">
        <f t="shared" si="27"/>
        <v>0</v>
      </c>
      <c r="AF21" s="368">
        <f t="shared" si="28"/>
        <v>0</v>
      </c>
      <c r="AG21" s="369">
        <f t="shared" si="29"/>
        <v>0</v>
      </c>
      <c r="AH21" s="368">
        <f t="shared" si="7"/>
        <v>0</v>
      </c>
      <c r="AI21" s="370">
        <f>IF((D21&lt;&gt;""),VLOOKUP(D21,Data!$E$36:$H$53,4),)</f>
        <v>0</v>
      </c>
      <c r="AJ21" s="370">
        <f t="shared" si="8"/>
        <v>0</v>
      </c>
      <c r="AK21" s="371">
        <f t="shared" si="9"/>
        <v>0</v>
      </c>
      <c r="AL21" s="371">
        <f t="shared" si="10"/>
        <v>0</v>
      </c>
      <c r="AM21" s="372">
        <f t="shared" si="11"/>
        <v>0</v>
      </c>
      <c r="AN21" s="370">
        <f t="shared" si="12"/>
        <v>0</v>
      </c>
      <c r="AO21" s="373">
        <f t="shared" si="13"/>
        <v>0</v>
      </c>
      <c r="AP21" s="373">
        <f t="shared" si="14"/>
        <v>0</v>
      </c>
      <c r="AQ21" s="373">
        <f t="shared" si="15"/>
        <v>0</v>
      </c>
      <c r="AR21" s="373">
        <f t="shared" si="16"/>
        <v>0</v>
      </c>
      <c r="AS21" s="371">
        <f t="shared" si="17"/>
        <v>0</v>
      </c>
      <c r="AT21" s="371">
        <f t="shared" si="18"/>
        <v>0</v>
      </c>
      <c r="AU21" s="366">
        <f>IF(Data!$H$8="x",AV21,AW21)</f>
        <v>3.1666666666666661</v>
      </c>
      <c r="AV21" s="366">
        <f t="shared" si="19"/>
        <v>1.583333333333333</v>
      </c>
      <c r="AW21" s="366">
        <f>AW20</f>
        <v>3.1666666666666661</v>
      </c>
      <c r="AX21" s="362" t="str">
        <f t="shared" si="20"/>
        <v>Zo</v>
      </c>
      <c r="AY21" s="371">
        <f>IF((R39="M4.1")*AND(R40&lt;&gt;""),VLOOKUP(R40,Barema!$BG$5:$BH$34,2),)</f>
        <v>0</v>
      </c>
      <c r="AZ21" s="371" t="s">
        <v>14</v>
      </c>
      <c r="BA21" s="439"/>
    </row>
    <row r="22" spans="1:53" s="378" customFormat="1" x14ac:dyDescent="0.2">
      <c r="A22" s="309"/>
      <c r="B22" s="6" t="s">
        <v>175</v>
      </c>
      <c r="C22" s="311" t="s">
        <v>559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 t="shared" si="25"/>
        <v>0.6333333333333333</v>
      </c>
      <c r="N22" s="338">
        <f>IF(Okt!$H$48="x",AU22+Okt!$N$37,AU22)</f>
        <v>3.4833333333333325</v>
      </c>
      <c r="O22" s="337" t="str">
        <f t="shared" si="21"/>
        <v>-</v>
      </c>
      <c r="P22" s="339">
        <f t="shared" si="22"/>
        <v>2.8499999999999992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6"/>
        <v>0</v>
      </c>
      <c r="AD22" s="315">
        <f t="shared" si="6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3.4833333333333325</v>
      </c>
      <c r="AV22" s="313">
        <f t="shared" si="19"/>
        <v>1.7416666666666663</v>
      </c>
      <c r="AW22" s="313">
        <f>IF(D22="V",AW21,(AW21+"07:36"))</f>
        <v>3.4833333333333325</v>
      </c>
      <c r="AX22" s="6" t="str">
        <f t="shared" si="20"/>
        <v>Ma</v>
      </c>
      <c r="AY22" s="4">
        <f>IF((R39="M4.2")*AND(R40&lt;&gt;""),VLOOKUP(R40,Barema!$BJ$5:$BK$34,2),)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177</v>
      </c>
      <c r="C23" s="311" t="s">
        <v>560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 t="shared" si="25"/>
        <v>0.6333333333333333</v>
      </c>
      <c r="N23" s="338">
        <f>IF(Okt!$H$48="x",AU23+Okt!$N$37,AU23)</f>
        <v>3.7999999999999989</v>
      </c>
      <c r="O23" s="337" t="str">
        <f t="shared" si="21"/>
        <v>-</v>
      </c>
      <c r="P23" s="339">
        <f t="shared" si="22"/>
        <v>3.1666666666666656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6"/>
        <v>0</v>
      </c>
      <c r="AD23" s="315">
        <f t="shared" si="6"/>
        <v>0</v>
      </c>
      <c r="AE23" s="316">
        <f t="shared" si="27"/>
        <v>0</v>
      </c>
      <c r="AF23" s="315">
        <f t="shared" si="28"/>
        <v>0</v>
      </c>
      <c r="AG23" s="316">
        <f t="shared" si="29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3.7999999999999989</v>
      </c>
      <c r="AV23" s="313">
        <f t="shared" si="19"/>
        <v>1.8999999999999995</v>
      </c>
      <c r="AW23" s="313">
        <f>IF(D23="V",AW22,(AW22+"07:36"))</f>
        <v>3.7999999999999989</v>
      </c>
      <c r="AX23" s="6" t="str">
        <f t="shared" si="20"/>
        <v>Di</v>
      </c>
      <c r="AY23" s="4">
        <f>IF((R39="M5.1")*AND(R40&lt;&gt;""),VLOOKUP(R40,Barema!$BM$5:$BN$35,2),)</f>
        <v>33228</v>
      </c>
      <c r="AZ23" s="4" t="s">
        <v>16</v>
      </c>
      <c r="BA23" s="102"/>
    </row>
    <row r="24" spans="1:53" s="378" customFormat="1" x14ac:dyDescent="0.2">
      <c r="A24" s="309"/>
      <c r="B24" s="6" t="s">
        <v>179</v>
      </c>
      <c r="C24" s="311" t="s">
        <v>561</v>
      </c>
      <c r="D24" s="312"/>
      <c r="E24" s="312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>M23+L24</f>
        <v>0.6333333333333333</v>
      </c>
      <c r="N24" s="338">
        <f>IF(Okt!$H$48="x",AU24+Okt!$N$37,AU24)</f>
        <v>4.1166666666666654</v>
      </c>
      <c r="O24" s="337" t="str">
        <f t="shared" si="21"/>
        <v>-</v>
      </c>
      <c r="P24" s="339">
        <f t="shared" si="22"/>
        <v>3.4833333333333321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6"/>
        <v>0</v>
      </c>
      <c r="AD24" s="315">
        <f t="shared" si="6"/>
        <v>0</v>
      </c>
      <c r="AE24" s="316">
        <f t="shared" si="27"/>
        <v>0</v>
      </c>
      <c r="AF24" s="315">
        <f t="shared" si="28"/>
        <v>0</v>
      </c>
      <c r="AG24" s="316">
        <f t="shared" si="29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4.1166666666666654</v>
      </c>
      <c r="AV24" s="313">
        <f t="shared" si="19"/>
        <v>2.0583333333333327</v>
      </c>
      <c r="AW24" s="313">
        <f>IF(D24="V",AW23,(AW23+"07:36"))</f>
        <v>4.1166666666666654</v>
      </c>
      <c r="AX24" s="6" t="str">
        <f t="shared" si="20"/>
        <v>Wo</v>
      </c>
      <c r="AY24" s="4">
        <f>IF((R39="M5.2")*AND(R40&lt;&gt;""),VLOOKUP(R40,Barema!$BP$5:$BQ$34,2),)</f>
        <v>0</v>
      </c>
      <c r="AZ24" s="4" t="s">
        <v>17</v>
      </c>
      <c r="BA24" s="102"/>
    </row>
    <row r="25" spans="1:53" s="378" customFormat="1" x14ac:dyDescent="0.2">
      <c r="A25" s="309"/>
      <c r="B25" s="6" t="s">
        <v>167</v>
      </c>
      <c r="C25" s="311" t="s">
        <v>562</v>
      </c>
      <c r="D25" s="312"/>
      <c r="E25" s="312"/>
      <c r="F25" s="274"/>
      <c r="G25" s="274"/>
      <c r="H25" s="310"/>
      <c r="I25" s="310"/>
      <c r="J25" s="336"/>
      <c r="K25" s="336"/>
      <c r="L25" s="313">
        <f>(G25-F25)+(I25-H25)+(K25-J25)+AI25+AN25</f>
        <v>0</v>
      </c>
      <c r="M25" s="313">
        <f>M24+L25</f>
        <v>0.6333333333333333</v>
      </c>
      <c r="N25" s="338">
        <f>IF(Okt!$H$48="x",AU25+Okt!$N$37,AU25)</f>
        <v>4.4333333333333318</v>
      </c>
      <c r="O25" s="337" t="str">
        <f t="shared" si="21"/>
        <v>-</v>
      </c>
      <c r="P25" s="339">
        <f t="shared" si="22"/>
        <v>3.7999999999999985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3"/>
        <v>0</v>
      </c>
      <c r="W25" s="313">
        <f t="shared" si="24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6"/>
        <v>0</v>
      </c>
      <c r="AD25" s="315">
        <f t="shared" si="6"/>
        <v>0</v>
      </c>
      <c r="AE25" s="316">
        <f t="shared" si="27"/>
        <v>0</v>
      </c>
      <c r="AF25" s="315">
        <f t="shared" si="28"/>
        <v>0</v>
      </c>
      <c r="AG25" s="316">
        <f t="shared" si="29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4.4333333333333318</v>
      </c>
      <c r="AV25" s="313">
        <f t="shared" si="19"/>
        <v>2.2166666666666659</v>
      </c>
      <c r="AW25" s="313">
        <f>IF(D25="V",AW24,(AW24+"07:36"))</f>
        <v>4.4333333333333318</v>
      </c>
      <c r="AX25" s="6" t="str">
        <f t="shared" si="20"/>
        <v>Do</v>
      </c>
      <c r="AY25" s="4">
        <f>IF((R39="M6")*AND(R40&lt;&gt;""),VLOOKUP(R40,Barema!$BS$5:$BT$34,2),)</f>
        <v>0</v>
      </c>
      <c r="AZ25" s="4" t="s">
        <v>18</v>
      </c>
      <c r="BA25" s="102"/>
    </row>
    <row r="26" spans="1:53" s="378" customFormat="1" x14ac:dyDescent="0.2">
      <c r="A26" s="309"/>
      <c r="B26" s="6" t="s">
        <v>169</v>
      </c>
      <c r="C26" s="311" t="s">
        <v>563</v>
      </c>
      <c r="D26" s="312"/>
      <c r="E26" s="312"/>
      <c r="F26" s="274"/>
      <c r="G26" s="274"/>
      <c r="H26" s="310"/>
      <c r="I26" s="310"/>
      <c r="J26" s="336"/>
      <c r="K26" s="336"/>
      <c r="L26" s="313">
        <f>(G26-F26)+(I26-H26)+(K26-J26)+AI26+AN26</f>
        <v>0</v>
      </c>
      <c r="M26" s="313">
        <f t="shared" si="25"/>
        <v>0.6333333333333333</v>
      </c>
      <c r="N26" s="338">
        <f>IF(Okt!$H$48="x",AU26+Okt!$N$37,AU26)</f>
        <v>4.7499999999999982</v>
      </c>
      <c r="O26" s="337" t="str">
        <f t="shared" si="21"/>
        <v>-</v>
      </c>
      <c r="P26" s="339">
        <f t="shared" si="22"/>
        <v>4.1166666666666654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6"/>
        <v>0</v>
      </c>
      <c r="AD26" s="315">
        <f t="shared" si="6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4.7499999999999982</v>
      </c>
      <c r="AV26" s="313">
        <f t="shared" si="19"/>
        <v>2.3749999999999991</v>
      </c>
      <c r="AW26" s="313">
        <f>IF(D26="V",AW25,(AW25+"07:36"))</f>
        <v>4.7499999999999982</v>
      </c>
      <c r="AX26" s="6" t="str">
        <f t="shared" si="20"/>
        <v>Vr</v>
      </c>
      <c r="AY26" s="4">
        <f>IF((R39="M7")*AND(R40&lt;&gt;""),VLOOKUP(R40,Barema!$BV$5:$BW$34,2),)</f>
        <v>0</v>
      </c>
      <c r="AZ26" s="4" t="s">
        <v>19</v>
      </c>
      <c r="BA26" s="102"/>
    </row>
    <row r="27" spans="1:53" s="376" customFormat="1" x14ac:dyDescent="0.2">
      <c r="A27" s="374"/>
      <c r="B27" s="362" t="s">
        <v>171</v>
      </c>
      <c r="C27" s="363" t="s">
        <v>564</v>
      </c>
      <c r="D27" s="364"/>
      <c r="E27" s="364"/>
      <c r="F27" s="365"/>
      <c r="G27" s="365"/>
      <c r="H27" s="365"/>
      <c r="I27" s="365"/>
      <c r="J27" s="375"/>
      <c r="K27" s="375"/>
      <c r="L27" s="366">
        <f>(G27-F27)+(I27-H27)+(K27-J27)</f>
        <v>0</v>
      </c>
      <c r="M27" s="366">
        <f t="shared" si="25"/>
        <v>0.6333333333333333</v>
      </c>
      <c r="N27" s="382">
        <f>IF(Okt!$H$48="x",AU27+Okt!$N$37,AU27)</f>
        <v>4.7499999999999982</v>
      </c>
      <c r="O27" s="377" t="str">
        <f t="shared" si="21"/>
        <v>-</v>
      </c>
      <c r="P27" s="383">
        <f t="shared" si="22"/>
        <v>4.1166666666666654</v>
      </c>
      <c r="Q27" s="364">
        <f t="shared" si="0"/>
        <v>0</v>
      </c>
      <c r="R27" s="364">
        <f t="shared" si="1"/>
        <v>0</v>
      </c>
      <c r="S27" s="364">
        <f t="shared" si="2"/>
        <v>0</v>
      </c>
      <c r="T27" s="364">
        <f t="shared" si="3"/>
        <v>0</v>
      </c>
      <c r="U27" s="366">
        <f>L27</f>
        <v>0</v>
      </c>
      <c r="V27" s="366">
        <f t="shared" si="23"/>
        <v>0</v>
      </c>
      <c r="W27" s="366">
        <f t="shared" si="24"/>
        <v>0</v>
      </c>
      <c r="X27" s="364"/>
      <c r="Y27" s="365"/>
      <c r="Z27" s="365"/>
      <c r="AA27" s="368">
        <f t="shared" si="4"/>
        <v>0</v>
      </c>
      <c r="AB27" s="368">
        <f t="shared" si="5"/>
        <v>0</v>
      </c>
      <c r="AC27" s="368">
        <f t="shared" si="26"/>
        <v>0</v>
      </c>
      <c r="AD27" s="368">
        <f t="shared" si="6"/>
        <v>0</v>
      </c>
      <c r="AE27" s="369">
        <f t="shared" si="27"/>
        <v>0</v>
      </c>
      <c r="AF27" s="368">
        <f t="shared" si="28"/>
        <v>0</v>
      </c>
      <c r="AG27" s="369">
        <f t="shared" si="29"/>
        <v>0</v>
      </c>
      <c r="AH27" s="368">
        <f t="shared" si="7"/>
        <v>0</v>
      </c>
      <c r="AI27" s="370">
        <f>IF((D27&lt;&gt;""),VLOOKUP(D27,Data!$E$36:$H$53,4),)</f>
        <v>0</v>
      </c>
      <c r="AJ27" s="370">
        <f t="shared" si="8"/>
        <v>0</v>
      </c>
      <c r="AK27" s="371">
        <f t="shared" si="9"/>
        <v>0</v>
      </c>
      <c r="AL27" s="371">
        <f t="shared" si="10"/>
        <v>0</v>
      </c>
      <c r="AM27" s="372">
        <f t="shared" si="11"/>
        <v>0</v>
      </c>
      <c r="AN27" s="370">
        <f t="shared" si="12"/>
        <v>0</v>
      </c>
      <c r="AO27" s="373">
        <f t="shared" si="13"/>
        <v>0</v>
      </c>
      <c r="AP27" s="373">
        <f t="shared" si="14"/>
        <v>0</v>
      </c>
      <c r="AQ27" s="373">
        <f t="shared" si="15"/>
        <v>0</v>
      </c>
      <c r="AR27" s="373">
        <f t="shared" si="16"/>
        <v>0</v>
      </c>
      <c r="AS27" s="371">
        <f t="shared" si="17"/>
        <v>0</v>
      </c>
      <c r="AT27" s="371">
        <f t="shared" si="18"/>
        <v>0</v>
      </c>
      <c r="AU27" s="366">
        <f>IF(Data!$H$8="x",AV27,AW27)</f>
        <v>4.7499999999999982</v>
      </c>
      <c r="AV27" s="366">
        <f t="shared" si="19"/>
        <v>2.3749999999999991</v>
      </c>
      <c r="AW27" s="366">
        <f>AW26</f>
        <v>4.7499999999999982</v>
      </c>
      <c r="AX27" s="362" t="str">
        <f t="shared" si="20"/>
        <v>Za</v>
      </c>
      <c r="AY27" s="371">
        <f>IF((R39="M7bis")*AND(R40&lt;&gt;""),VLOOKUP(R40,Barema!$BY$5:$BZ$34,2),)</f>
        <v>0</v>
      </c>
      <c r="AZ27" s="371" t="s">
        <v>20</v>
      </c>
      <c r="BA27" s="439"/>
    </row>
    <row r="28" spans="1:53" s="376" customFormat="1" x14ac:dyDescent="0.2">
      <c r="A28" s="374"/>
      <c r="B28" s="362" t="s">
        <v>173</v>
      </c>
      <c r="C28" s="363" t="s">
        <v>565</v>
      </c>
      <c r="D28" s="364"/>
      <c r="E28" s="364"/>
      <c r="F28" s="365"/>
      <c r="G28" s="365"/>
      <c r="H28" s="365"/>
      <c r="I28" s="365"/>
      <c r="J28" s="375"/>
      <c r="K28" s="375"/>
      <c r="L28" s="366">
        <f>(G28-F28)+(I28-H28)+(K28-J28)</f>
        <v>0</v>
      </c>
      <c r="M28" s="366">
        <f t="shared" si="25"/>
        <v>0.6333333333333333</v>
      </c>
      <c r="N28" s="382">
        <f>IF(Okt!$H$48="x",AU28+Okt!$N$37,AU28)</f>
        <v>4.7499999999999982</v>
      </c>
      <c r="O28" s="377" t="str">
        <f t="shared" si="21"/>
        <v>-</v>
      </c>
      <c r="P28" s="383">
        <f t="shared" si="22"/>
        <v>4.1166666666666654</v>
      </c>
      <c r="Q28" s="364">
        <f t="shared" si="0"/>
        <v>0</v>
      </c>
      <c r="R28" s="364">
        <f t="shared" si="1"/>
        <v>0</v>
      </c>
      <c r="S28" s="364">
        <f t="shared" si="2"/>
        <v>0</v>
      </c>
      <c r="T28" s="364">
        <f t="shared" si="3"/>
        <v>0</v>
      </c>
      <c r="U28" s="366">
        <f>L28</f>
        <v>0</v>
      </c>
      <c r="V28" s="366">
        <f t="shared" si="23"/>
        <v>0</v>
      </c>
      <c r="W28" s="366">
        <f t="shared" si="24"/>
        <v>0</v>
      </c>
      <c r="X28" s="364"/>
      <c r="Y28" s="365"/>
      <c r="Z28" s="365"/>
      <c r="AA28" s="368">
        <f t="shared" si="4"/>
        <v>0</v>
      </c>
      <c r="AB28" s="368">
        <f t="shared" si="5"/>
        <v>0</v>
      </c>
      <c r="AC28" s="368">
        <f t="shared" si="26"/>
        <v>0</v>
      </c>
      <c r="AD28" s="368">
        <f t="shared" si="6"/>
        <v>0</v>
      </c>
      <c r="AE28" s="369">
        <f t="shared" si="27"/>
        <v>0</v>
      </c>
      <c r="AF28" s="368">
        <f t="shared" si="28"/>
        <v>0</v>
      </c>
      <c r="AG28" s="369">
        <f t="shared" si="29"/>
        <v>0</v>
      </c>
      <c r="AH28" s="368">
        <f t="shared" si="7"/>
        <v>0</v>
      </c>
      <c r="AI28" s="370">
        <f>IF((D28&lt;&gt;""),VLOOKUP(D28,Data!$E$36:$H$53,4),)</f>
        <v>0</v>
      </c>
      <c r="AJ28" s="370">
        <f t="shared" si="8"/>
        <v>0</v>
      </c>
      <c r="AK28" s="371">
        <f t="shared" si="9"/>
        <v>0</v>
      </c>
      <c r="AL28" s="371">
        <f t="shared" si="10"/>
        <v>0</v>
      </c>
      <c r="AM28" s="372">
        <f t="shared" si="11"/>
        <v>0</v>
      </c>
      <c r="AN28" s="370">
        <f t="shared" si="12"/>
        <v>0</v>
      </c>
      <c r="AO28" s="373">
        <f t="shared" si="13"/>
        <v>0</v>
      </c>
      <c r="AP28" s="373">
        <f t="shared" si="14"/>
        <v>0</v>
      </c>
      <c r="AQ28" s="373">
        <f t="shared" si="15"/>
        <v>0</v>
      </c>
      <c r="AR28" s="373">
        <f t="shared" si="16"/>
        <v>0</v>
      </c>
      <c r="AS28" s="371">
        <f t="shared" si="17"/>
        <v>0</v>
      </c>
      <c r="AT28" s="371">
        <f t="shared" si="18"/>
        <v>0</v>
      </c>
      <c r="AU28" s="366">
        <f>IF(Data!$H$8="x",AV28,AW28)</f>
        <v>4.7499999999999982</v>
      </c>
      <c r="AV28" s="366">
        <f t="shared" si="19"/>
        <v>2.3749999999999991</v>
      </c>
      <c r="AW28" s="366">
        <f>AW27</f>
        <v>4.7499999999999982</v>
      </c>
      <c r="AX28" s="362" t="str">
        <f t="shared" si="20"/>
        <v>Zo</v>
      </c>
      <c r="AY28" s="371">
        <f>IF((R39="O1")*AND(R40&lt;&gt;""),VLOOKUP(R40,Barema!$Q$39:$R$66,2),)</f>
        <v>0</v>
      </c>
      <c r="AZ28" s="371" t="s">
        <v>21</v>
      </c>
      <c r="BA28" s="439"/>
    </row>
    <row r="29" spans="1:53" s="378" customFormat="1" x14ac:dyDescent="0.2">
      <c r="A29" s="309"/>
      <c r="B29" s="6" t="s">
        <v>175</v>
      </c>
      <c r="C29" s="311" t="s">
        <v>566</v>
      </c>
      <c r="D29" s="312"/>
      <c r="E29" s="312"/>
      <c r="F29" s="274"/>
      <c r="G29" s="274"/>
      <c r="H29" s="310"/>
      <c r="I29" s="310"/>
      <c r="J29" s="336"/>
      <c r="K29" s="336"/>
      <c r="L29" s="338">
        <f>(G29-F29)+(I29-H29)+(K29-J29)+AI29+AN29</f>
        <v>0</v>
      </c>
      <c r="M29" s="313">
        <f t="shared" si="25"/>
        <v>0.6333333333333333</v>
      </c>
      <c r="N29" s="338">
        <f>IF(Okt!$H$48="x",AU29+Okt!$N$37,AU29)</f>
        <v>5.0666666666666647</v>
      </c>
      <c r="O29" s="337" t="str">
        <f t="shared" si="21"/>
        <v>-</v>
      </c>
      <c r="P29" s="339">
        <f t="shared" si="22"/>
        <v>4.4333333333333318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38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6"/>
        <v>0</v>
      </c>
      <c r="AD29" s="315">
        <f t="shared" si="6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5.0666666666666647</v>
      </c>
      <c r="AV29" s="313">
        <f t="shared" si="19"/>
        <v>2.5333333333333323</v>
      </c>
      <c r="AW29" s="313">
        <f>IF(D29="V",AW28,(AW28+"07:36"))</f>
        <v>5.0666666666666647</v>
      </c>
      <c r="AX29" s="6" t="str">
        <f t="shared" si="20"/>
        <v>Ma</v>
      </c>
      <c r="AY29" s="4">
        <f>IF((R39="O2")*AND(R40&lt;&gt;""),VLOOKUP(R40,Barema!$T$39:$U$66,2),)</f>
        <v>0</v>
      </c>
      <c r="AZ29" s="4" t="s">
        <v>22</v>
      </c>
      <c r="BA29" s="102"/>
    </row>
    <row r="30" spans="1:53" s="378" customFormat="1" x14ac:dyDescent="0.2">
      <c r="A30" s="309"/>
      <c r="B30" s="6" t="s">
        <v>177</v>
      </c>
      <c r="C30" s="311" t="s">
        <v>567</v>
      </c>
      <c r="D30" s="312"/>
      <c r="E30" s="312"/>
      <c r="F30" s="274"/>
      <c r="G30" s="274"/>
      <c r="H30" s="310"/>
      <c r="I30" s="310"/>
      <c r="J30" s="336"/>
      <c r="K30" s="336"/>
      <c r="L30" s="338">
        <f>(G30-F30)+(I30-H30)+(K30-J30)+AI30+AN30</f>
        <v>0</v>
      </c>
      <c r="M30" s="313">
        <f t="shared" si="25"/>
        <v>0.6333333333333333</v>
      </c>
      <c r="N30" s="338">
        <f>IF(Okt!$H$48="x",AU30+Okt!$N$37,AU30)</f>
        <v>5.3833333333333311</v>
      </c>
      <c r="O30" s="337" t="str">
        <f t="shared" si="21"/>
        <v>-</v>
      </c>
      <c r="P30" s="339">
        <f t="shared" si="22"/>
        <v>4.7499999999999982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38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6"/>
        <v>0</v>
      </c>
      <c r="AD30" s="315">
        <f t="shared" si="6"/>
        <v>0</v>
      </c>
      <c r="AE30" s="316">
        <f t="shared" si="27"/>
        <v>0</v>
      </c>
      <c r="AF30" s="315">
        <f t="shared" si="28"/>
        <v>0</v>
      </c>
      <c r="AG30" s="316">
        <f t="shared" si="29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5.3833333333333311</v>
      </c>
      <c r="AV30" s="313">
        <f t="shared" si="19"/>
        <v>2.6916666666666655</v>
      </c>
      <c r="AW30" s="313">
        <f>IF(D30="V",AW29,(AW29+"07:36"))</f>
        <v>5.3833333333333311</v>
      </c>
      <c r="AX30" s="6" t="str">
        <f t="shared" si="20"/>
        <v>Di</v>
      </c>
      <c r="AY30" s="4">
        <f>IF((R39="O2ir")*AND(R40&lt;&gt;""),VLOOKUP(R40,Barema!$AR$39:$AS$66,2),)</f>
        <v>0</v>
      </c>
      <c r="AZ30" s="4" t="s">
        <v>30</v>
      </c>
      <c r="BA30" s="102"/>
    </row>
    <row r="31" spans="1:53" s="378" customFormat="1" x14ac:dyDescent="0.2">
      <c r="A31" s="309"/>
      <c r="B31" s="6" t="s">
        <v>179</v>
      </c>
      <c r="C31" s="311" t="s">
        <v>568</v>
      </c>
      <c r="D31" s="312"/>
      <c r="E31" s="312"/>
      <c r="F31" s="274"/>
      <c r="G31" s="274"/>
      <c r="H31" s="310"/>
      <c r="I31" s="310"/>
      <c r="J31" s="336"/>
      <c r="K31" s="336"/>
      <c r="L31" s="338">
        <f>(G31-F31)+(I31-H31)+(K31-J31)+AI31+AN31</f>
        <v>0</v>
      </c>
      <c r="M31" s="313">
        <f>M30+L31</f>
        <v>0.6333333333333333</v>
      </c>
      <c r="N31" s="338">
        <f>IF(Okt!$H$48="x",AU31+Okt!$N$37,AU31)</f>
        <v>5.6999999999999975</v>
      </c>
      <c r="O31" s="337" t="str">
        <f t="shared" si="21"/>
        <v>-</v>
      </c>
      <c r="P31" s="339">
        <f t="shared" si="22"/>
        <v>5.0666666666666647</v>
      </c>
      <c r="Q31" s="312">
        <f t="shared" si="0"/>
        <v>0</v>
      </c>
      <c r="R31" s="312">
        <f t="shared" si="1"/>
        <v>0</v>
      </c>
      <c r="S31" s="312">
        <f t="shared" si="2"/>
        <v>0</v>
      </c>
      <c r="T31" s="312">
        <f t="shared" si="3"/>
        <v>0</v>
      </c>
      <c r="U31" s="338">
        <f>IF(D31="F",L31,0)</f>
        <v>0</v>
      </c>
      <c r="V31" s="313">
        <f t="shared" si="23"/>
        <v>0</v>
      </c>
      <c r="W31" s="313">
        <f t="shared" si="24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6"/>
        <v>0</v>
      </c>
      <c r="AD31" s="315">
        <f t="shared" si="6"/>
        <v>0</v>
      </c>
      <c r="AE31" s="316">
        <f t="shared" si="27"/>
        <v>0</v>
      </c>
      <c r="AF31" s="315">
        <f t="shared" si="28"/>
        <v>0</v>
      </c>
      <c r="AG31" s="316">
        <f t="shared" si="29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5.6999999999999975</v>
      </c>
      <c r="AV31" s="313">
        <f t="shared" si="19"/>
        <v>2.8499999999999988</v>
      </c>
      <c r="AW31" s="313">
        <f>IF(D31="V",AW30,(AW30+"07:36"))</f>
        <v>5.6999999999999975</v>
      </c>
      <c r="AX31" s="6" t="str">
        <f t="shared" si="20"/>
        <v>Wo</v>
      </c>
      <c r="AY31" s="4">
        <f>IF((R39="O3")*AND(R40&lt;&gt;""),VLOOKUP(R40,Barema!$W$39:$X$66,2),)</f>
        <v>0</v>
      </c>
      <c r="AZ31" s="4" t="s">
        <v>23</v>
      </c>
      <c r="BA31" s="102"/>
    </row>
    <row r="32" spans="1:53" s="378" customFormat="1" x14ac:dyDescent="0.2">
      <c r="A32" s="309"/>
      <c r="B32" s="6" t="s">
        <v>167</v>
      </c>
      <c r="C32" s="311" t="s">
        <v>569</v>
      </c>
      <c r="D32" s="312"/>
      <c r="E32" s="312"/>
      <c r="F32" s="274"/>
      <c r="G32" s="274"/>
      <c r="H32" s="310"/>
      <c r="I32" s="310"/>
      <c r="J32" s="336"/>
      <c r="K32" s="336"/>
      <c r="L32" s="338">
        <f>(G32-F32)+(I32-H32)+(K32-J32)+AI32+AN32</f>
        <v>0</v>
      </c>
      <c r="M32" s="313">
        <f>M31+L32</f>
        <v>0.6333333333333333</v>
      </c>
      <c r="N32" s="338">
        <f>IF(Okt!$H$48="x",AU32+Okt!$N$37,AU32)</f>
        <v>6.0166666666666639</v>
      </c>
      <c r="O32" s="337" t="str">
        <f t="shared" si="21"/>
        <v>-</v>
      </c>
      <c r="P32" s="339">
        <f t="shared" si="22"/>
        <v>5.3833333333333311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38">
        <f>IF(D32="F",L32,0)</f>
        <v>0</v>
      </c>
      <c r="V32" s="313">
        <f t="shared" si="23"/>
        <v>0</v>
      </c>
      <c r="W32" s="313">
        <f t="shared" si="24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6"/>
        <v>0</v>
      </c>
      <c r="AD32" s="315">
        <f t="shared" si="6"/>
        <v>0</v>
      </c>
      <c r="AE32" s="316">
        <f t="shared" si="27"/>
        <v>0</v>
      </c>
      <c r="AF32" s="315">
        <f t="shared" si="28"/>
        <v>0</v>
      </c>
      <c r="AG32" s="316">
        <f t="shared" si="29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6.0166666666666639</v>
      </c>
      <c r="AV32" s="313">
        <f t="shared" si="19"/>
        <v>3.008333333333332</v>
      </c>
      <c r="AW32" s="313">
        <f>IF(D32="V",AW31,(AW31+"07:36"))</f>
        <v>6.0166666666666639</v>
      </c>
      <c r="AX32" s="6" t="str">
        <f t="shared" si="20"/>
        <v>Do</v>
      </c>
      <c r="AY32" s="4">
        <f>IF((R39="O3ir")*AND(R40&lt;&gt;""),VLOOKUP(R40,Barema!$AU$39:$AV$66,2),)</f>
        <v>0</v>
      </c>
      <c r="AZ32" s="4" t="s">
        <v>31</v>
      </c>
      <c r="BA32" s="102"/>
    </row>
    <row r="33" spans="1:54" s="378" customFormat="1" x14ac:dyDescent="0.2">
      <c r="A33" s="309"/>
      <c r="B33" s="6" t="s">
        <v>169</v>
      </c>
      <c r="C33" s="311" t="s">
        <v>570</v>
      </c>
      <c r="D33" s="312"/>
      <c r="E33" s="312"/>
      <c r="F33" s="274"/>
      <c r="G33" s="274"/>
      <c r="H33" s="310"/>
      <c r="I33" s="310"/>
      <c r="J33" s="336"/>
      <c r="K33" s="336"/>
      <c r="L33" s="338">
        <f>(G33-F33)+(I33-H33)+(K33-J33)+AI33+AN33</f>
        <v>0</v>
      </c>
      <c r="M33" s="313">
        <f t="shared" si="25"/>
        <v>0.6333333333333333</v>
      </c>
      <c r="N33" s="338">
        <f>IF(Okt!$H$48="x",AU33+Okt!$N$37,AU33)</f>
        <v>6.3333333333333304</v>
      </c>
      <c r="O33" s="337" t="str">
        <f t="shared" si="21"/>
        <v>-</v>
      </c>
      <c r="P33" s="339">
        <f t="shared" si="22"/>
        <v>5.6999999999999975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38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6.3333333333333304</v>
      </c>
      <c r="AV33" s="313">
        <f t="shared" si="19"/>
        <v>3.1666666666666652</v>
      </c>
      <c r="AW33" s="313">
        <f>IF(D33="V",AW32,(AW32+"07:36"))</f>
        <v>6.3333333333333304</v>
      </c>
      <c r="AX33" s="6" t="str">
        <f t="shared" si="20"/>
        <v>Vr</v>
      </c>
      <c r="AY33" s="4">
        <f>IF((R39="O4")*AND(R40&lt;&gt;""),VLOOKUP(R40,Barema!$Z$39:$AA$66,2),)</f>
        <v>0</v>
      </c>
      <c r="AZ33" s="4" t="s">
        <v>24</v>
      </c>
      <c r="BA33" s="102"/>
    </row>
    <row r="34" spans="1:54" s="376" customFormat="1" x14ac:dyDescent="0.2">
      <c r="A34" s="374"/>
      <c r="B34" s="362" t="s">
        <v>171</v>
      </c>
      <c r="C34" s="363" t="s">
        <v>571</v>
      </c>
      <c r="D34" s="364"/>
      <c r="E34" s="364"/>
      <c r="F34" s="365"/>
      <c r="G34" s="365"/>
      <c r="H34" s="365"/>
      <c r="I34" s="365"/>
      <c r="J34" s="375"/>
      <c r="K34" s="375"/>
      <c r="L34" s="382">
        <f>(G34-F34)+(I34-H34)+(K34-J34)</f>
        <v>0</v>
      </c>
      <c r="M34" s="366">
        <f t="shared" si="25"/>
        <v>0.6333333333333333</v>
      </c>
      <c r="N34" s="382">
        <f>IF(Okt!$H$48="x",AU34+Okt!$N$37,AU34)</f>
        <v>6.3333333333333304</v>
      </c>
      <c r="O34" s="377" t="str">
        <f t="shared" si="21"/>
        <v>-</v>
      </c>
      <c r="P34" s="383">
        <f t="shared" si="22"/>
        <v>5.6999999999999975</v>
      </c>
      <c r="Q34" s="364">
        <f t="shared" si="0"/>
        <v>0</v>
      </c>
      <c r="R34" s="364">
        <f t="shared" si="1"/>
        <v>0</v>
      </c>
      <c r="S34" s="364">
        <f t="shared" si="2"/>
        <v>0</v>
      </c>
      <c r="T34" s="364">
        <f t="shared" si="3"/>
        <v>0</v>
      </c>
      <c r="U34" s="382">
        <f>L34</f>
        <v>0</v>
      </c>
      <c r="V34" s="366">
        <f t="shared" si="23"/>
        <v>0</v>
      </c>
      <c r="W34" s="366">
        <f t="shared" si="24"/>
        <v>0</v>
      </c>
      <c r="X34" s="364"/>
      <c r="Y34" s="365"/>
      <c r="Z34" s="365"/>
      <c r="AA34" s="368">
        <f t="shared" si="4"/>
        <v>0</v>
      </c>
      <c r="AB34" s="368">
        <f t="shared" si="5"/>
        <v>0</v>
      </c>
      <c r="AC34" s="368">
        <f t="shared" si="26"/>
        <v>0</v>
      </c>
      <c r="AD34" s="368">
        <f t="shared" si="6"/>
        <v>0</v>
      </c>
      <c r="AE34" s="369">
        <f t="shared" si="27"/>
        <v>0</v>
      </c>
      <c r="AF34" s="368">
        <f t="shared" si="28"/>
        <v>0</v>
      </c>
      <c r="AG34" s="369">
        <f t="shared" si="29"/>
        <v>0</v>
      </c>
      <c r="AH34" s="368">
        <f t="shared" si="7"/>
        <v>0</v>
      </c>
      <c r="AI34" s="370">
        <f>IF((D34&lt;&gt;""),VLOOKUP(D34,Data!$E$36:$H$53,4),)</f>
        <v>0</v>
      </c>
      <c r="AJ34" s="370">
        <f t="shared" si="8"/>
        <v>0</v>
      </c>
      <c r="AK34" s="371">
        <f t="shared" si="9"/>
        <v>0</v>
      </c>
      <c r="AL34" s="371">
        <f t="shared" si="10"/>
        <v>0</v>
      </c>
      <c r="AM34" s="372">
        <f t="shared" si="11"/>
        <v>0</v>
      </c>
      <c r="AN34" s="370">
        <f t="shared" si="12"/>
        <v>0</v>
      </c>
      <c r="AO34" s="373">
        <f t="shared" si="13"/>
        <v>0</v>
      </c>
      <c r="AP34" s="373">
        <f t="shared" si="14"/>
        <v>0</v>
      </c>
      <c r="AQ34" s="373">
        <f t="shared" si="15"/>
        <v>0</v>
      </c>
      <c r="AR34" s="373">
        <f t="shared" si="16"/>
        <v>0</v>
      </c>
      <c r="AS34" s="371">
        <f t="shared" si="17"/>
        <v>0</v>
      </c>
      <c r="AT34" s="371">
        <f t="shared" si="18"/>
        <v>0</v>
      </c>
      <c r="AU34" s="366">
        <f>IF(Data!$H$8="x",AV34,AW34)</f>
        <v>6.3333333333333304</v>
      </c>
      <c r="AV34" s="366">
        <f t="shared" si="19"/>
        <v>3.1666666666666652</v>
      </c>
      <c r="AW34" s="366">
        <f>AW33</f>
        <v>6.3333333333333304</v>
      </c>
      <c r="AX34" s="362" t="str">
        <f t="shared" si="20"/>
        <v>Za</v>
      </c>
      <c r="AY34" s="371">
        <f>IF((R39="O4bis")*AND(R40&lt;&gt;""),VLOOKUP(R40,Barema!$BG$39:$BH$66,2),)</f>
        <v>0</v>
      </c>
      <c r="AZ34" s="371" t="s">
        <v>35</v>
      </c>
      <c r="BA34" s="439"/>
    </row>
    <row r="35" spans="1:54" s="376" customFormat="1" x14ac:dyDescent="0.2">
      <c r="A35" s="374"/>
      <c r="B35" s="362" t="s">
        <v>173</v>
      </c>
      <c r="C35" s="363" t="s">
        <v>572</v>
      </c>
      <c r="D35" s="364"/>
      <c r="E35" s="364"/>
      <c r="F35" s="365"/>
      <c r="G35" s="365"/>
      <c r="H35" s="365"/>
      <c r="I35" s="365"/>
      <c r="J35" s="375"/>
      <c r="K35" s="375"/>
      <c r="L35" s="382">
        <f>(G35-F35)+(I35-H35)+(K35-J35)</f>
        <v>0</v>
      </c>
      <c r="M35" s="366">
        <f t="shared" si="25"/>
        <v>0.6333333333333333</v>
      </c>
      <c r="N35" s="382">
        <f>IF(Okt!$H$48="x",AU35+Okt!$N$37,AU35)</f>
        <v>6.3333333333333304</v>
      </c>
      <c r="O35" s="377" t="str">
        <f t="shared" si="21"/>
        <v>-</v>
      </c>
      <c r="P35" s="383">
        <f t="shared" si="22"/>
        <v>5.6999999999999975</v>
      </c>
      <c r="Q35" s="364">
        <f t="shared" si="0"/>
        <v>0</v>
      </c>
      <c r="R35" s="364">
        <f t="shared" si="1"/>
        <v>0</v>
      </c>
      <c r="S35" s="364">
        <f t="shared" si="2"/>
        <v>0</v>
      </c>
      <c r="T35" s="364">
        <f t="shared" si="3"/>
        <v>0</v>
      </c>
      <c r="U35" s="382">
        <f>L35</f>
        <v>0</v>
      </c>
      <c r="V35" s="366">
        <f t="shared" si="23"/>
        <v>0</v>
      </c>
      <c r="W35" s="366">
        <f t="shared" si="24"/>
        <v>0</v>
      </c>
      <c r="X35" s="364"/>
      <c r="Y35" s="365"/>
      <c r="Z35" s="365"/>
      <c r="AA35" s="368">
        <f t="shared" si="4"/>
        <v>0</v>
      </c>
      <c r="AB35" s="368">
        <f t="shared" si="5"/>
        <v>0</v>
      </c>
      <c r="AC35" s="368">
        <f t="shared" si="26"/>
        <v>0</v>
      </c>
      <c r="AD35" s="368">
        <f t="shared" si="6"/>
        <v>0</v>
      </c>
      <c r="AE35" s="369">
        <f t="shared" si="27"/>
        <v>0</v>
      </c>
      <c r="AF35" s="368">
        <f t="shared" si="28"/>
        <v>0</v>
      </c>
      <c r="AG35" s="369">
        <f t="shared" si="29"/>
        <v>0</v>
      </c>
      <c r="AH35" s="368">
        <f t="shared" si="7"/>
        <v>0</v>
      </c>
      <c r="AI35" s="370">
        <f>IF((D35&lt;&gt;""),VLOOKUP(D35,Data!$E$36:$H$53,4),)</f>
        <v>0</v>
      </c>
      <c r="AJ35" s="370">
        <f t="shared" si="8"/>
        <v>0</v>
      </c>
      <c r="AK35" s="371">
        <f t="shared" si="9"/>
        <v>0</v>
      </c>
      <c r="AL35" s="371">
        <f t="shared" si="10"/>
        <v>0</v>
      </c>
      <c r="AM35" s="372">
        <f t="shared" si="11"/>
        <v>0</v>
      </c>
      <c r="AN35" s="370">
        <f t="shared" si="12"/>
        <v>0</v>
      </c>
      <c r="AO35" s="373">
        <f t="shared" si="13"/>
        <v>0</v>
      </c>
      <c r="AP35" s="373">
        <f t="shared" si="14"/>
        <v>0</v>
      </c>
      <c r="AQ35" s="373">
        <f t="shared" si="15"/>
        <v>0</v>
      </c>
      <c r="AR35" s="373">
        <f t="shared" si="16"/>
        <v>0</v>
      </c>
      <c r="AS35" s="371">
        <f t="shared" si="17"/>
        <v>0</v>
      </c>
      <c r="AT35" s="371">
        <f t="shared" si="18"/>
        <v>0</v>
      </c>
      <c r="AU35" s="366">
        <f>IF(Data!$H$8="x",AV35,AW35)</f>
        <v>6.3333333333333304</v>
      </c>
      <c r="AV35" s="366">
        <f t="shared" si="19"/>
        <v>3.1666666666666652</v>
      </c>
      <c r="AW35" s="366">
        <f>AW34</f>
        <v>6.3333333333333304</v>
      </c>
      <c r="AX35" s="362" t="str">
        <f t="shared" si="20"/>
        <v>Zo</v>
      </c>
      <c r="AY35" s="371">
        <f>IF((R39="O4bis-ir")*AND(R40&lt;&gt;""),VLOOKUP(R40,Barema!$AO$39:$AP$66,2),)</f>
        <v>0</v>
      </c>
      <c r="AZ35" s="371" t="s">
        <v>29</v>
      </c>
      <c r="BA35" s="439"/>
    </row>
    <row r="36" spans="1:54" s="378" customFormat="1" x14ac:dyDescent="0.2">
      <c r="A36" s="309"/>
      <c r="B36" s="6" t="s">
        <v>175</v>
      </c>
      <c r="C36" s="311" t="s">
        <v>573</v>
      </c>
      <c r="D36" s="312"/>
      <c r="E36" s="312"/>
      <c r="F36" s="274"/>
      <c r="G36" s="274"/>
      <c r="H36" s="310"/>
      <c r="I36" s="310"/>
      <c r="J36" s="336"/>
      <c r="K36" s="336"/>
      <c r="L36" s="338">
        <f>(G36-F36)+(I36-H36)+(K36-J36)+AI36+AN36</f>
        <v>0</v>
      </c>
      <c r="M36" s="313">
        <f t="shared" si="25"/>
        <v>0.6333333333333333</v>
      </c>
      <c r="N36" s="338">
        <f>IF(Okt!$H$48="x",AU36+Okt!$N$37,AU36)</f>
        <v>6.6499999999999968</v>
      </c>
      <c r="O36" s="337" t="str">
        <f t="shared" si="21"/>
        <v>-</v>
      </c>
      <c r="P36" s="339">
        <f t="shared" si="22"/>
        <v>6.0166666666666639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38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6"/>
        <v>0</v>
      </c>
      <c r="AD36" s="315">
        <f t="shared" si="6"/>
        <v>0</v>
      </c>
      <c r="AE36" s="316">
        <f t="shared" si="27"/>
        <v>0</v>
      </c>
      <c r="AF36" s="315">
        <f t="shared" si="28"/>
        <v>0</v>
      </c>
      <c r="AG36" s="316">
        <f t="shared" si="29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6.6499999999999968</v>
      </c>
      <c r="AV36" s="313">
        <f t="shared" si="19"/>
        <v>3.3249999999999984</v>
      </c>
      <c r="AW36" s="313">
        <f>IF(D36="V",AW35,(AW35+"07:36"))</f>
        <v>6.6499999999999968</v>
      </c>
      <c r="AX36" s="6" t="str">
        <f t="shared" si="20"/>
        <v>Ma</v>
      </c>
      <c r="AY36" s="4">
        <f>IF((R39="O4ir")*AND(R40&lt;&gt;""),VLOOKUP(R40,Barema!$AX$39:$AY$66,2),)</f>
        <v>0</v>
      </c>
      <c r="AZ36" s="4" t="s">
        <v>32</v>
      </c>
      <c r="BA36" s="102"/>
    </row>
    <row r="37" spans="1:54" x14ac:dyDescent="0.2">
      <c r="AB37" s="123">
        <f t="shared" ref="AB37:AI37" si="30">SUM(AA7:AA36)</f>
        <v>0</v>
      </c>
      <c r="AC37" s="123">
        <f t="shared" si="30"/>
        <v>0</v>
      </c>
      <c r="AD37" s="123">
        <f t="shared" si="30"/>
        <v>0</v>
      </c>
      <c r="AE37" s="123">
        <f t="shared" si="30"/>
        <v>0</v>
      </c>
      <c r="AF37" s="123">
        <f t="shared" si="30"/>
        <v>0</v>
      </c>
      <c r="AG37" s="123">
        <f t="shared" si="30"/>
        <v>0</v>
      </c>
      <c r="AH37" s="123">
        <f t="shared" si="30"/>
        <v>0</v>
      </c>
      <c r="AI37" s="123">
        <f t="shared" si="30"/>
        <v>0</v>
      </c>
      <c r="AK37" s="123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52"/>
      <c r="AW37" s="152"/>
      <c r="AX37" s="152"/>
      <c r="AY37" s="4">
        <f>IF((R39="O5")*AND(R40&lt;&gt;""),VLOOKUP(R40,Barema!$AC$39:$AD$66,2),)</f>
        <v>0</v>
      </c>
      <c r="AZ37" s="4" t="s">
        <v>25</v>
      </c>
      <c r="BB37" s="4"/>
    </row>
    <row r="38" spans="1:54" x14ac:dyDescent="0.2">
      <c r="C38" s="166" t="s">
        <v>92</v>
      </c>
      <c r="D38" s="24"/>
      <c r="E38" s="24"/>
      <c r="F38" s="24"/>
      <c r="G38" s="24"/>
      <c r="H38" s="24"/>
      <c r="W38" s="70"/>
      <c r="X38" s="70"/>
      <c r="Z38" s="324" t="s">
        <v>205</v>
      </c>
      <c r="AA38" s="260" t="s">
        <v>206</v>
      </c>
      <c r="AB38" s="123">
        <f t="shared" ref="AB38:AI38" si="31">IF((MINUTE(AB37)&gt;=30),(AB37+0.041666667),AB37)</f>
        <v>0</v>
      </c>
      <c r="AC38" s="123">
        <f t="shared" si="31"/>
        <v>0</v>
      </c>
      <c r="AD38" s="123">
        <f t="shared" si="31"/>
        <v>0</v>
      </c>
      <c r="AE38" s="123">
        <f t="shared" si="31"/>
        <v>0</v>
      </c>
      <c r="AF38" s="123">
        <f t="shared" si="31"/>
        <v>0</v>
      </c>
      <c r="AG38" s="123">
        <f t="shared" si="31"/>
        <v>0</v>
      </c>
      <c r="AH38" s="123">
        <f t="shared" si="31"/>
        <v>0</v>
      </c>
      <c r="AI38" s="123">
        <f t="shared" si="31"/>
        <v>0</v>
      </c>
      <c r="AK38" s="123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IF((R39="O5ir")*AND(R40&lt;&gt;""),VLOOKUP(R40,Barema!$BA$39:$BB$66,2),)</f>
        <v>0</v>
      </c>
      <c r="AZ38" s="4" t="s">
        <v>33</v>
      </c>
      <c r="BB38" s="4"/>
    </row>
    <row r="39" spans="1:54" x14ac:dyDescent="0.2">
      <c r="C39" s="42" t="s">
        <v>207</v>
      </c>
      <c r="D39" s="43"/>
      <c r="E39" s="43"/>
      <c r="F39" s="43"/>
      <c r="G39" s="44"/>
      <c r="H39" s="28">
        <f>Okt!$H$45</f>
        <v>36</v>
      </c>
      <c r="J39" s="9" t="s">
        <v>574</v>
      </c>
      <c r="K39" s="10"/>
      <c r="L39" s="11"/>
      <c r="M39" s="10"/>
      <c r="N39" s="18"/>
      <c r="O39" s="10"/>
      <c r="P39" s="11"/>
      <c r="Q39" s="11"/>
      <c r="R39" s="441" t="s">
        <v>16</v>
      </c>
      <c r="S39" s="442"/>
      <c r="T39" s="319" t="s">
        <v>696</v>
      </c>
      <c r="U39" s="320"/>
      <c r="V39" s="321"/>
      <c r="W39" s="107"/>
      <c r="X39" s="1"/>
      <c r="Z39" s="132">
        <v>2.1223000000000001</v>
      </c>
      <c r="AA39" s="261">
        <f>Z39</f>
        <v>2.1223000000000001</v>
      </c>
      <c r="AB39" s="123">
        <f t="shared" ref="AB39:AI39" si="32">IF(MINUTE(AB38)&gt;0,FLOOR(AB38,0.041666667),AB38)</f>
        <v>0</v>
      </c>
      <c r="AC39" s="123">
        <f t="shared" si="32"/>
        <v>0</v>
      </c>
      <c r="AD39" s="123">
        <f t="shared" si="32"/>
        <v>0</v>
      </c>
      <c r="AE39" s="123">
        <f t="shared" si="32"/>
        <v>0</v>
      </c>
      <c r="AF39" s="123">
        <f t="shared" si="32"/>
        <v>0</v>
      </c>
      <c r="AG39" s="123">
        <f t="shared" si="32"/>
        <v>0</v>
      </c>
      <c r="AH39" s="123">
        <f t="shared" si="32"/>
        <v>0</v>
      </c>
      <c r="AI39" s="123">
        <f t="shared" si="32"/>
        <v>0</v>
      </c>
      <c r="AK39" s="140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IF((R39="O6")*AND(R40&lt;&gt;""),VLOOKUP(R40,Barema!$AF$39:$AG$66,2),)</f>
        <v>0</v>
      </c>
      <c r="AZ39" s="4" t="s">
        <v>26</v>
      </c>
      <c r="BB39" s="4"/>
    </row>
    <row r="40" spans="1:54" ht="13.5" thickBot="1" x14ac:dyDescent="0.25">
      <c r="C40" s="42" t="s">
        <v>210</v>
      </c>
      <c r="D40" s="43"/>
      <c r="E40" s="43"/>
      <c r="F40" s="43"/>
      <c r="G40" s="144" t="s">
        <v>211</v>
      </c>
      <c r="H40" s="81">
        <v>0</v>
      </c>
      <c r="J40" s="12" t="s">
        <v>575</v>
      </c>
      <c r="K40" s="13"/>
      <c r="L40" s="14"/>
      <c r="M40" s="13"/>
      <c r="N40" s="13"/>
      <c r="O40" s="13"/>
      <c r="P40" s="14"/>
      <c r="Q40" s="14"/>
      <c r="R40" s="443">
        <v>22</v>
      </c>
      <c r="S40" s="444"/>
      <c r="T40" s="328">
        <f>AY55</f>
        <v>33228</v>
      </c>
      <c r="U40" s="328"/>
      <c r="V40" s="329"/>
      <c r="W40" s="318"/>
      <c r="X40" s="318"/>
      <c r="Z40" s="1"/>
      <c r="AA40" s="1"/>
      <c r="AF40" s="4"/>
      <c r="AG40" s="88"/>
      <c r="AH40" s="10" t="s">
        <v>217</v>
      </c>
      <c r="AI40" s="10"/>
      <c r="AJ40" s="89"/>
      <c r="AK40" s="10" t="s">
        <v>219</v>
      </c>
      <c r="AL40" s="10"/>
      <c r="AM40" s="18"/>
      <c r="AN40" s="89"/>
      <c r="AP40" s="4"/>
      <c r="AQ40" s="4"/>
      <c r="AR40" s="4"/>
      <c r="AS40" s="4"/>
      <c r="AT40" s="4"/>
      <c r="AU40" s="4"/>
      <c r="AY40" s="4">
        <f>IF((R39="O6ir")*AND(R40&lt;&gt;""),VLOOKUP(R40,Barema!$BD$39:$BE$66,2),)</f>
        <v>0</v>
      </c>
      <c r="AZ40" s="4" t="s">
        <v>34</v>
      </c>
      <c r="BB40" s="4"/>
    </row>
    <row r="41" spans="1:54" ht="13.5" thickTop="1" x14ac:dyDescent="0.2">
      <c r="C41" s="308" t="s">
        <v>695</v>
      </c>
      <c r="D41" s="146"/>
      <c r="E41" s="146"/>
      <c r="F41" s="100"/>
      <c r="G41" s="147" t="s">
        <v>211</v>
      </c>
      <c r="H41" s="79">
        <f>AN38</f>
        <v>0</v>
      </c>
      <c r="I41" s="32"/>
      <c r="J41" s="15" t="s">
        <v>213</v>
      </c>
      <c r="K41" s="4"/>
      <c r="L41" s="63"/>
      <c r="M41" s="275">
        <f>AK39</f>
        <v>0</v>
      </c>
      <c r="N41" s="4" t="s">
        <v>214</v>
      </c>
      <c r="O41" s="54"/>
      <c r="P41" s="1"/>
      <c r="Q41" s="1"/>
      <c r="R41" s="1"/>
      <c r="S41" s="15"/>
      <c r="T41" s="54"/>
      <c r="U41" s="325">
        <f>(M41*AK42/0.041666667)</f>
        <v>0</v>
      </c>
      <c r="V41" s="19" t="s">
        <v>215</v>
      </c>
      <c r="W41" s="106"/>
      <c r="X41" s="1"/>
      <c r="Y41" s="134" t="s">
        <v>216</v>
      </c>
      <c r="Z41" s="135"/>
      <c r="AF41" s="62"/>
      <c r="AG41" s="15"/>
      <c r="AH41" s="4">
        <f>X40*1.2434/1850</f>
        <v>0</v>
      </c>
      <c r="AI41" s="4"/>
      <c r="AJ41" s="33"/>
      <c r="AK41" s="4">
        <f>T40*AA39/1850</f>
        <v>38.118802378378383</v>
      </c>
      <c r="AL41" s="4" t="s">
        <v>218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IF((R39="O7")*AND(R40&lt;&gt;""),VLOOKUP(R40,Barema!$AI$39:$AJ$68,2),)</f>
        <v>0</v>
      </c>
      <c r="AZ41" s="4" t="s">
        <v>27</v>
      </c>
      <c r="BB41" s="2"/>
    </row>
    <row r="42" spans="1:54" x14ac:dyDescent="0.2">
      <c r="C42" s="42" t="s">
        <v>220</v>
      </c>
      <c r="D42" s="43"/>
      <c r="E42" s="43"/>
      <c r="F42" s="43"/>
      <c r="G42" s="144" t="s">
        <v>221</v>
      </c>
      <c r="H42" s="28">
        <f>AB42+(AB43/2)+(AB44/2)</f>
        <v>0</v>
      </c>
      <c r="J42" s="15" t="s">
        <v>224</v>
      </c>
      <c r="K42" s="4"/>
      <c r="L42" s="4"/>
      <c r="M42" s="141">
        <f>AF39</f>
        <v>0</v>
      </c>
      <c r="N42" s="4" t="s">
        <v>214</v>
      </c>
      <c r="O42" s="4"/>
      <c r="P42" s="4"/>
      <c r="Q42" s="4"/>
      <c r="R42" s="4"/>
      <c r="S42" s="15"/>
      <c r="T42" s="54"/>
      <c r="U42" s="325">
        <f>(M42*AK50/0.041666667)</f>
        <v>0</v>
      </c>
      <c r="V42" s="19" t="s">
        <v>215</v>
      </c>
      <c r="W42" s="106"/>
      <c r="X42" s="1"/>
      <c r="Y42" s="136" t="s">
        <v>222</v>
      </c>
      <c r="Z42" s="137"/>
      <c r="AB42" s="4">
        <f>COUNTIF(AK7:AK36,"1")</f>
        <v>0</v>
      </c>
      <c r="AE42" s="4" t="e">
        <f>M44*78</f>
        <v>#VALUE!</v>
      </c>
      <c r="AG42" s="198" t="s">
        <v>122</v>
      </c>
      <c r="AH42" s="4">
        <f>AH41*0.9645*AK48/100*1.45</f>
        <v>0</v>
      </c>
      <c r="AI42" s="4"/>
      <c r="AJ42" s="33"/>
      <c r="AK42" s="131">
        <f>(AK41*0.9645)*AK48/100</f>
        <v>17.095996975684866</v>
      </c>
      <c r="AL42" s="17" t="s">
        <v>223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IF((R39="O8")*AND(R40&lt;&gt;""),VLOOKUP(R40,Barema!$AL$39:$AM$68,2),)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228</v>
      </c>
      <c r="K43" s="4"/>
      <c r="L43" s="4"/>
      <c r="M43" s="141">
        <f>AG39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9">
        <f>AK47</f>
        <v>53.5</v>
      </c>
      <c r="Z43" s="138"/>
      <c r="AB43" s="4">
        <f>COUNTIF(AK7:AK36,"2")</f>
        <v>0</v>
      </c>
      <c r="AE43" s="4" t="e">
        <f>M45*23</f>
        <v>#VALUE!</v>
      </c>
      <c r="AG43" s="16" t="s">
        <v>225</v>
      </c>
      <c r="AH43" s="17">
        <f>(W40*1.2434/1850)*0.009645*AK48</f>
        <v>0</v>
      </c>
      <c r="AI43" s="17"/>
      <c r="AJ43" s="40"/>
      <c r="AK43" s="4">
        <v>1.24</v>
      </c>
      <c r="AL43" s="4" t="s">
        <v>226</v>
      </c>
      <c r="AP43" s="4"/>
      <c r="AQ43" s="4"/>
      <c r="AR43" s="4"/>
      <c r="AS43" s="4"/>
      <c r="AT43" s="4"/>
      <c r="AU43" s="4"/>
      <c r="AY43" s="17">
        <f>IF((R39="HAU4")*AND(R40&lt;&gt;""),VLOOKUP(R40,Barema!$BJ$39:$BK$66,2),)</f>
        <v>0</v>
      </c>
      <c r="AZ43" s="17" t="s">
        <v>705</v>
      </c>
      <c r="BB43" s="2"/>
    </row>
    <row r="44" spans="1:54" x14ac:dyDescent="0.2">
      <c r="C44" s="48" t="s">
        <v>227</v>
      </c>
      <c r="D44" s="49"/>
      <c r="E44" s="49"/>
      <c r="F44" s="49"/>
      <c r="G44" s="50"/>
      <c r="H44" s="52">
        <f>H39-H42+H40+H41</f>
        <v>36</v>
      </c>
      <c r="J44" s="15" t="str">
        <f>IF(Jan!AH49=2,"Middagmaal","")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"/>
      <c r="S44" s="15"/>
      <c r="T44" s="54"/>
      <c r="U44" s="325" t="str">
        <f>IF(Jan!AH49=2,(M44*AK44*AA39+(R44*AA39*6.2)),"")</f>
        <v/>
      </c>
      <c r="V44" s="19" t="str">
        <f>IF(Jan!AH49=2,"€","")</f>
        <v/>
      </c>
      <c r="W44" s="106"/>
      <c r="X44" s="1"/>
      <c r="Y44" s="1"/>
      <c r="Z44" s="1"/>
      <c r="AA44" s="1"/>
      <c r="AB44" s="4">
        <f>COUNTIF(AK7:AK36,"7")</f>
        <v>0</v>
      </c>
      <c r="AG44" s="4"/>
      <c r="AH44" s="4"/>
      <c r="AI44" s="4"/>
      <c r="AK44" s="4">
        <v>2.48</v>
      </c>
      <c r="AL44" s="4" t="s">
        <v>161</v>
      </c>
      <c r="AY44" s="17">
        <f>IF((R39="BAGP1")*AND(R40&lt;&gt;""),VLOOKUP(R40,Barema!$Q$5:$R$31,2),)</f>
        <v>0</v>
      </c>
      <c r="AZ44" s="17" t="s">
        <v>710</v>
      </c>
      <c r="BB44" s="2"/>
    </row>
    <row r="45" spans="1:54" x14ac:dyDescent="0.2">
      <c r="J45" s="15" t="str">
        <f>IF(Jan!AH49=2,"Avondmaal","")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IF(Jan!AH49=2,(M45*AK45*AA39+(R45*AA39*6.2)),"")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 t="s">
        <v>348</v>
      </c>
      <c r="AC45" s="4"/>
      <c r="AF45" s="4">
        <f>M54*23</f>
        <v>0</v>
      </c>
      <c r="AG45" s="4"/>
      <c r="AH45" s="4"/>
      <c r="AI45" s="4"/>
      <c r="AK45" s="4">
        <v>2.48</v>
      </c>
      <c r="AL45" s="4" t="s">
        <v>162</v>
      </c>
      <c r="AY45" s="17">
        <f>IF((R39="BAGP2")*AND(R40&lt;&gt;""),VLOOKUP(R40,Barema!$T$5:$U$31,2),)</f>
        <v>0</v>
      </c>
      <c r="AZ45" s="4" t="s">
        <v>711</v>
      </c>
      <c r="BB45" s="2"/>
    </row>
    <row r="46" spans="1:54" x14ac:dyDescent="0.2">
      <c r="C46" s="166" t="s">
        <v>230</v>
      </c>
      <c r="F46" s="4"/>
      <c r="G46" s="74" t="s">
        <v>231</v>
      </c>
      <c r="H46" s="74" t="s">
        <v>232</v>
      </c>
      <c r="J46" s="15" t="str">
        <f>IF(Jan!AH49=2,"Nachtmaal","")</f>
        <v/>
      </c>
      <c r="K46" s="4"/>
      <c r="L46" s="104"/>
      <c r="M46" s="4" t="str">
        <f>IF(Jan!AH49=2,COUNTIF(S7:S36,"1"),"")</f>
        <v/>
      </c>
      <c r="N46" s="105"/>
      <c r="O46" s="4"/>
      <c r="P46" s="4"/>
      <c r="Q46" s="4"/>
      <c r="R46" s="19"/>
      <c r="S46" s="4"/>
      <c r="T46" s="80"/>
      <c r="U46" s="325" t="str">
        <f>IF(Jan!AH49=2,(M46*AK46*AA39+(R46*AA39*3.48)),"")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>
        <f>IF((M36-N36-U4)&gt;0,(M36-N36-U4-G54),)</f>
        <v>0</v>
      </c>
      <c r="AC46" s="4">
        <f>IF((MINUTE(AB46)&gt;=30),(0.041666667),)</f>
        <v>0</v>
      </c>
      <c r="AD46" s="4">
        <f>AB46+AC46</f>
        <v>0</v>
      </c>
      <c r="AE46" s="4">
        <f>AD46</f>
        <v>0</v>
      </c>
      <c r="AG46" s="4"/>
      <c r="AH46" s="4"/>
      <c r="AI46" s="4"/>
      <c r="AK46" s="4">
        <v>1.74</v>
      </c>
      <c r="AL46" s="4" t="s">
        <v>233</v>
      </c>
      <c r="AY46" s="17">
        <f>IF((R39="BAGP3")*AND(R40&lt;&gt;""),VLOOKUP(R40,Barema!$W$5:$X$31,2),)</f>
        <v>0</v>
      </c>
      <c r="AZ46" s="4" t="s">
        <v>712</v>
      </c>
      <c r="BB46" s="2"/>
    </row>
    <row r="47" spans="1:54" x14ac:dyDescent="0.2">
      <c r="C47" s="24" t="s">
        <v>234</v>
      </c>
      <c r="G47" s="92"/>
      <c r="H47" s="92" t="s">
        <v>109</v>
      </c>
      <c r="J47" s="15" t="str">
        <f>IF(Jan!AH49=2,"Morgenmaal","")</f>
        <v/>
      </c>
      <c r="K47" s="4"/>
      <c r="L47" s="104"/>
      <c r="M47" s="4" t="str">
        <f>IF(Jan!AH49=2,COUNTIF(T7:T36,"1"),"")</f>
        <v/>
      </c>
      <c r="N47" s="105"/>
      <c r="O47" s="4"/>
      <c r="P47" s="4"/>
      <c r="Q47" s="4"/>
      <c r="R47" s="19"/>
      <c r="S47" s="4"/>
      <c r="T47" s="80"/>
      <c r="U47" s="325" t="str">
        <f>IF(Jan!AH49=2,(M47*AK43*AA39+(R47*AA39*2.48)),"")</f>
        <v/>
      </c>
      <c r="V47" s="19" t="str">
        <f>IF(Jan!AH49=2,"€","")</f>
        <v/>
      </c>
      <c r="W47" s="106"/>
      <c r="X47" s="1"/>
      <c r="AB47" s="4"/>
      <c r="AC47" s="4"/>
      <c r="AD47" s="4"/>
      <c r="AE47" s="4">
        <f>HOUR(AE46)</f>
        <v>0</v>
      </c>
      <c r="AG47" s="4"/>
      <c r="AH47" s="4"/>
      <c r="AI47" s="4"/>
      <c r="AK47" s="4">
        <f>VLOOKUP(AS47,Data!$F$80:$H$91,3)</f>
        <v>53.5</v>
      </c>
      <c r="AL47" s="4" t="s">
        <v>235</v>
      </c>
      <c r="AP47" s="256">
        <f>T40*Z39</f>
        <v>70519.784400000004</v>
      </c>
      <c r="AQ47" s="2">
        <f>AP47*0.075</f>
        <v>5288.9838300000001</v>
      </c>
      <c r="AR47" s="2">
        <f>AP47*0.0355</f>
        <v>2503.4523461999997</v>
      </c>
      <c r="AS47" s="142">
        <f>AP47-AQ47-AR47</f>
        <v>62727.348223800007</v>
      </c>
      <c r="AY47" s="17">
        <f>IF((R39="BAGP4")*AND(R40&lt;&gt;""),VLOOKUP(R40,Barema!$BJ$39:$BK$66,2),)</f>
        <v>0</v>
      </c>
      <c r="AZ47" s="4" t="s">
        <v>713</v>
      </c>
      <c r="BB47" s="2"/>
    </row>
    <row r="48" spans="1:54" x14ac:dyDescent="0.2">
      <c r="J48" s="15" t="s">
        <v>238</v>
      </c>
      <c r="K48" s="4"/>
      <c r="L48" s="4"/>
      <c r="M48" s="141">
        <f>IF(AND(O36="+",G47="x",AB46&gt;=0),AB50,0)</f>
        <v>0</v>
      </c>
      <c r="N48" s="4" t="s">
        <v>214</v>
      </c>
      <c r="O48" s="54"/>
      <c r="P48" s="1"/>
      <c r="Q48" s="1"/>
      <c r="R48" s="1"/>
      <c r="S48" s="15"/>
      <c r="T48" s="80"/>
      <c r="U48" s="325">
        <f>(M48*AK42/0.041666667)</f>
        <v>0</v>
      </c>
      <c r="V48" s="19" t="s">
        <v>215</v>
      </c>
      <c r="W48" s="106"/>
      <c r="X48" s="1"/>
      <c r="AB48" s="4">
        <f>HOUR(AD46)*0.041666667</f>
        <v>0</v>
      </c>
      <c r="AD48" s="4"/>
      <c r="AG48" s="4"/>
      <c r="AH48" s="4"/>
      <c r="AI48" s="4"/>
      <c r="AK48" s="62">
        <f>100-AK47</f>
        <v>46.5</v>
      </c>
      <c r="AL48" s="4" t="s">
        <v>236</v>
      </c>
      <c r="AY48" s="17">
        <f>IF((R39="BASP1")*AND(R40&lt;&gt;""),VLOOKUP(R40,Barema!$BM$39:$BN$69,2),)</f>
        <v>0</v>
      </c>
      <c r="AZ48" s="4" t="s">
        <v>706</v>
      </c>
      <c r="BB48" s="2"/>
    </row>
    <row r="49" spans="3:54" x14ac:dyDescent="0.2">
      <c r="C49" s="4" t="s">
        <v>237</v>
      </c>
      <c r="F49" s="4"/>
      <c r="G49" s="4"/>
      <c r="J49" s="15" t="s">
        <v>240</v>
      </c>
      <c r="K49" s="4"/>
      <c r="L49" s="4"/>
      <c r="M49" s="118">
        <f>AM37</f>
        <v>0</v>
      </c>
      <c r="N49" s="4" t="s">
        <v>241</v>
      </c>
      <c r="O49" s="80"/>
      <c r="P49" s="1"/>
      <c r="Q49" s="1"/>
      <c r="R49" s="1"/>
      <c r="S49" s="15"/>
      <c r="T49" s="80"/>
      <c r="U49" s="325">
        <f>AM38</f>
        <v>0</v>
      </c>
      <c r="V49" s="19" t="s">
        <v>215</v>
      </c>
      <c r="W49" s="106"/>
      <c r="X49" s="1"/>
      <c r="AB49" s="4"/>
      <c r="AG49" s="4"/>
      <c r="AH49" s="4"/>
      <c r="AI49" s="4"/>
      <c r="AY49" s="17">
        <f>IF((R39="BASP2")*AND(R40&lt;&gt;""),VLOOKUP(R40,Barema!$BP$39:$BQ$69,2),)</f>
        <v>0</v>
      </c>
      <c r="AZ49" s="4" t="s">
        <v>707</v>
      </c>
      <c r="BB49" s="2"/>
    </row>
    <row r="50" spans="3:54" x14ac:dyDescent="0.2">
      <c r="C50" s="4" t="s">
        <v>239</v>
      </c>
      <c r="F50" s="4"/>
      <c r="G50" s="133">
        <v>0</v>
      </c>
      <c r="J50" s="15" t="s">
        <v>244</v>
      </c>
      <c r="K50" s="1"/>
      <c r="M50" s="65">
        <f>SUM(X7:X36)</f>
        <v>0</v>
      </c>
      <c r="N50" s="4" t="s">
        <v>245</v>
      </c>
      <c r="O50" s="4"/>
      <c r="P50" s="4"/>
      <c r="Q50" s="4"/>
      <c r="R50" s="4"/>
      <c r="S50" s="15"/>
      <c r="T50" s="120"/>
      <c r="U50" s="325">
        <f>(M50*Data!$S$13)</f>
        <v>0</v>
      </c>
      <c r="V50" s="19" t="s">
        <v>215</v>
      </c>
      <c r="W50" s="106"/>
      <c r="X50" s="1"/>
      <c r="AB50" s="4">
        <f>IF(MINUTE(AB46)&gt;0,FLOOR(AE46,0.041666667),AE46)</f>
        <v>0</v>
      </c>
      <c r="AF50" s="4"/>
      <c r="AG50" s="4" t="s">
        <v>153</v>
      </c>
      <c r="AH50" s="4">
        <f>AH41*0.00325*0.9645*AK48</f>
        <v>0</v>
      </c>
      <c r="AI50" s="4"/>
      <c r="AK50" s="62">
        <f>AK42/100*20</f>
        <v>3.4191993951369732</v>
      </c>
      <c r="AL50" s="4" t="s">
        <v>242</v>
      </c>
      <c r="AY50" s="17">
        <f>IF((R39="BASP3")*AND(R40&lt;&gt;""),VLOOKUP(R40,Barema!$BS$39:$BT$69,2),)</f>
        <v>0</v>
      </c>
      <c r="AZ50" s="4" t="s">
        <v>708</v>
      </c>
      <c r="BB50" s="2"/>
    </row>
    <row r="51" spans="3:54" x14ac:dyDescent="0.2">
      <c r="C51" s="166" t="s">
        <v>243</v>
      </c>
      <c r="J51" s="15" t="s">
        <v>247</v>
      </c>
      <c r="K51" s="4"/>
      <c r="M51" s="141">
        <f>AH53</f>
        <v>0</v>
      </c>
      <c r="N51" s="4" t="s">
        <v>214</v>
      </c>
      <c r="O51" s="4"/>
      <c r="P51" s="4"/>
      <c r="Q51" s="4"/>
      <c r="R51" s="4"/>
      <c r="S51" s="15"/>
      <c r="T51" s="80"/>
      <c r="U51" s="325">
        <f>(M51*AK53/0.041666667)</f>
        <v>0</v>
      </c>
      <c r="V51" s="19" t="s">
        <v>215</v>
      </c>
      <c r="W51" s="106"/>
      <c r="X51" s="1"/>
      <c r="AK51" s="62">
        <f>AK42/100*35</f>
        <v>5.9835989414897028</v>
      </c>
      <c r="AL51" s="4" t="s">
        <v>246</v>
      </c>
      <c r="AY51" s="17">
        <f>IF((R39="BASP4")*AND(R40&lt;&gt;""),VLOOKUP(R40,Barema!$BV$39:$BW$69,2),)</f>
        <v>0</v>
      </c>
      <c r="AZ51" s="4" t="s">
        <v>709</v>
      </c>
      <c r="BB51" s="2"/>
    </row>
    <row r="52" spans="3:54" x14ac:dyDescent="0.2">
      <c r="J52" s="15" t="s">
        <v>249</v>
      </c>
      <c r="K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142"/>
      <c r="BB52" s="2"/>
    </row>
    <row r="53" spans="3:54" x14ac:dyDescent="0.2">
      <c r="C53" s="24" t="s">
        <v>248</v>
      </c>
      <c r="F53" s="4"/>
      <c r="G53" s="4"/>
      <c r="H53" s="4"/>
      <c r="J53" s="16" t="s">
        <v>250</v>
      </c>
      <c r="K53" s="17"/>
      <c r="L53" s="17"/>
      <c r="M53" s="203">
        <f>AU38</f>
        <v>0</v>
      </c>
      <c r="N53" s="17" t="s">
        <v>241</v>
      </c>
      <c r="O53" s="17"/>
      <c r="P53" s="17"/>
      <c r="Q53" s="17"/>
      <c r="R53" s="17"/>
      <c r="S53" s="16"/>
      <c r="T53" s="17"/>
      <c r="U53" s="326">
        <f>(M53*(2.81*AA39))/100*(100-Y43)</f>
        <v>0</v>
      </c>
      <c r="V53" s="20" t="s">
        <v>215</v>
      </c>
      <c r="W53" s="106"/>
      <c r="X53" s="1"/>
      <c r="AE53" s="78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30">
        <f>AK42/24</f>
        <v>0.71233320732020278</v>
      </c>
      <c r="AL53" s="10" t="s">
        <v>247</v>
      </c>
      <c r="AM53" s="10"/>
      <c r="AN53" s="10"/>
      <c r="AO53" s="10"/>
      <c r="AP53" s="86"/>
      <c r="BB53" s="2"/>
    </row>
    <row r="54" spans="3:54" x14ac:dyDescent="0.2">
      <c r="C54" s="24" t="s">
        <v>239</v>
      </c>
      <c r="F54" s="4"/>
      <c r="G54" s="121">
        <v>0</v>
      </c>
      <c r="H54" s="4"/>
      <c r="L54" s="70" t="s">
        <v>130</v>
      </c>
      <c r="M54" s="70"/>
      <c r="N54" s="16"/>
      <c r="O54" s="71"/>
      <c r="P54" s="64"/>
      <c r="Q54" s="64"/>
      <c r="R54" s="64"/>
      <c r="S54" s="16"/>
      <c r="T54" s="72"/>
      <c r="U54" s="326">
        <f>SUM(U41:U53)</f>
        <v>0</v>
      </c>
      <c r="V54" s="323" t="s">
        <v>215</v>
      </c>
      <c r="W54" s="322"/>
      <c r="X54" s="1"/>
      <c r="AE54" s="16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31">
        <f>AK42/15</f>
        <v>1.1397331317123245</v>
      </c>
      <c r="AL54" s="17" t="s">
        <v>251</v>
      </c>
      <c r="AM54" s="17"/>
      <c r="AN54" s="17"/>
      <c r="AO54" s="17"/>
      <c r="AP54" s="83"/>
      <c r="BB54" s="2"/>
    </row>
    <row r="55" spans="3:54" x14ac:dyDescent="0.2">
      <c r="C55" s="166" t="s">
        <v>243</v>
      </c>
      <c r="E55" s="4"/>
      <c r="F55" s="1"/>
      <c r="G55" s="4"/>
      <c r="H55" s="4"/>
      <c r="W55" s="106"/>
      <c r="X55" s="1"/>
      <c r="AY55" s="4">
        <f>SUM(AY7:AY53)</f>
        <v>33228</v>
      </c>
      <c r="BB55" s="2"/>
    </row>
    <row r="57" spans="3:54" x14ac:dyDescent="0.2">
      <c r="J57" s="4"/>
      <c r="K57" s="4"/>
      <c r="L57" s="4"/>
      <c r="M57" s="70"/>
      <c r="N57" s="70"/>
      <c r="O57" s="4"/>
      <c r="S57" s="4"/>
      <c r="T57" s="1"/>
      <c r="U57" s="1"/>
      <c r="V57" s="4"/>
    </row>
    <row r="58" spans="3:54" x14ac:dyDescent="0.2">
      <c r="D58" s="2"/>
      <c r="F58" s="4"/>
      <c r="G58" s="1"/>
      <c r="H58" s="4"/>
      <c r="I58" s="4"/>
      <c r="J58" s="4"/>
      <c r="K58" s="4"/>
      <c r="L58" s="4"/>
      <c r="M58" s="70"/>
      <c r="N58" s="70"/>
      <c r="O58" s="4"/>
      <c r="S58" s="4"/>
      <c r="T58" s="1"/>
      <c r="U58" s="1"/>
      <c r="V58" s="4"/>
      <c r="W58" s="4"/>
      <c r="X58" s="54"/>
      <c r="Y58" s="2"/>
    </row>
    <row r="59" spans="3:54" x14ac:dyDescent="0.2">
      <c r="D59" s="2"/>
      <c r="F59" s="4"/>
      <c r="G59" s="1"/>
      <c r="H59" s="4"/>
      <c r="I59" s="4"/>
      <c r="W59" s="4"/>
      <c r="X59" s="4"/>
      <c r="Y59" s="4"/>
    </row>
  </sheetData>
  <sheetProtection algorithmName="SHA-512" hashValue="4ANoPXP9HsgRZmAKTf2Ah87WV1JoR6iJ7Iq2yDH0S0nCkfJrkbIO5fXesygGL3r4pvcP9dWqz1964ngI7B0Zkw==" saltValue="s7R071sbFAg9dvB5T6TFAQ==" spinCount="100000" sheet="1" objects="1" scenarios="1"/>
  <mergeCells count="2">
    <mergeCell ref="R40:S40"/>
    <mergeCell ref="R39:S39"/>
  </mergeCells>
  <phoneticPr fontId="0" type="noConversion"/>
  <conditionalFormatting sqref="F7:G7">
    <cfRule type="timePeriod" dxfId="10" priority="1" timePeriod="lastWeek">
      <formula>AND(TODAY()-ROUNDDOWN(F7,0)&gt;=(WEEKDAY(TODAY())),TODAY()-ROUNDDOWN(F7,0)&lt;(WEEKDAY(TODAY())+7))</formula>
    </cfRule>
  </conditionalFormatting>
  <conditionalFormatting sqref="F9:G13">
    <cfRule type="timePeriod" dxfId="9" priority="5" timePeriod="lastWeek">
      <formula>AND(TODAY()-ROUNDDOWN(F9,0)&gt;=(WEEKDAY(TODAY())),TODAY()-ROUNDDOWN(F9,0)&lt;(WEEKDAY(TODAY())+7))</formula>
    </cfRule>
  </conditionalFormatting>
  <conditionalFormatting sqref="F16:G20">
    <cfRule type="timePeriod" dxfId="8" priority="4" timePeriod="lastWeek">
      <formula>AND(TODAY()-ROUNDDOWN(F16,0)&gt;=(WEEKDAY(TODAY())),TODAY()-ROUNDDOWN(F16,0)&lt;(WEEKDAY(TODAY())+7))</formula>
    </cfRule>
  </conditionalFormatting>
  <conditionalFormatting sqref="F23:G27">
    <cfRule type="timePeriod" dxfId="7" priority="3" timePeriod="lastWeek">
      <formula>AND(TODAY()-ROUNDDOWN(F23,0)&gt;=(WEEKDAY(TODAY())),TODAY()-ROUNDDOWN(F23,0)&lt;(WEEKDAY(TODAY())+7))</formula>
    </cfRule>
  </conditionalFormatting>
  <conditionalFormatting sqref="F30:G34">
    <cfRule type="timePeriod" dxfId="6" priority="2" timePeriod="lastWeek">
      <formula>AND(TODAY()-ROUNDDOWN(F30,0)&gt;=(WEEKDAY(TODAY())),TODAY()-ROUNDDOWN(F30,0)&lt;(WEEKDAY(TODAY())+7))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3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14"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5" customWidth="1"/>
    <col min="5" max="5" width="3.7109375" style="5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12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7.42578125" style="2" hidden="1" customWidth="1"/>
    <col min="43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7109375" hidden="1" customWidth="1"/>
    <col min="55" max="16383" width="9.140625" hidden="1"/>
    <col min="16384" max="16384" width="0.5703125" hidden="1"/>
  </cols>
  <sheetData>
    <row r="1" spans="1:54" x14ac:dyDescent="0.2">
      <c r="C1" s="168"/>
      <c r="D1" s="1"/>
      <c r="E1" s="1"/>
      <c r="H1" s="169"/>
      <c r="X1" s="24"/>
      <c r="Y1" s="1"/>
      <c r="Z1" s="1"/>
      <c r="AA1" s="1"/>
      <c r="AD1" s="2">
        <v>0.29166666666666669</v>
      </c>
      <c r="AJ1" s="171" t="s">
        <v>576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D2" s="1"/>
      <c r="E2" s="1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D3" s="1"/>
      <c r="E3" s="1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D4" s="1"/>
      <c r="E4" s="1"/>
      <c r="I4" s="4" t="s">
        <v>110</v>
      </c>
      <c r="J4" s="4"/>
      <c r="K4" s="4"/>
      <c r="L4" s="4"/>
      <c r="M4" s="259">
        <f>Nov!$G$54</f>
        <v>0</v>
      </c>
      <c r="P4" s="4" t="s">
        <v>111</v>
      </c>
      <c r="Q4" s="4"/>
      <c r="R4" s="4"/>
      <c r="S4" s="4"/>
      <c r="T4" s="4"/>
      <c r="U4" s="122">
        <f>IF(Nov!$H$47="x",Nov!$U$4,Nov!$G$50)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8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408" t="s">
        <v>577</v>
      </c>
      <c r="P6" s="409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8" customFormat="1" x14ac:dyDescent="0.2">
      <c r="A7" s="309"/>
      <c r="B7" s="6" t="s">
        <v>177</v>
      </c>
      <c r="C7" s="415" t="s">
        <v>578</v>
      </c>
      <c r="D7" s="414"/>
      <c r="E7" s="414"/>
      <c r="F7" s="274"/>
      <c r="G7" s="274"/>
      <c r="H7" s="310"/>
      <c r="I7" s="310"/>
      <c r="J7" s="336"/>
      <c r="K7" s="336"/>
      <c r="L7" s="313">
        <f>(G7-F7)+(I7-H7)+(K7-J7)+AI7+AN7</f>
        <v>0</v>
      </c>
      <c r="M7" s="313">
        <f>IF(Nov!H47="x",L7+Nov!M36+M4,L7+M4)</f>
        <v>0.6333333333333333</v>
      </c>
      <c r="N7" s="338">
        <f>IF(Nov!$H$47="x",AU7+Nov!$N$36,AU7)</f>
        <v>6.9666666666666632</v>
      </c>
      <c r="O7" s="337" t="str">
        <f>IF((M7-N7-U$4)&lt;0,"-","+")</f>
        <v>-</v>
      </c>
      <c r="P7" s="339">
        <f>ABS(M7-N7-U$4)</f>
        <v>6.3333333333333304</v>
      </c>
      <c r="Q7" s="312">
        <f t="shared" ref="Q7:Q37" si="0">AP7</f>
        <v>0</v>
      </c>
      <c r="R7" s="312">
        <f t="shared" ref="R7:R37" si="1">AQ7</f>
        <v>0</v>
      </c>
      <c r="S7" s="312">
        <f t="shared" ref="S7:S37" si="2">AR7</f>
        <v>0</v>
      </c>
      <c r="T7" s="312">
        <f t="shared" ref="T7:T37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5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 t="shared" ref="AM7:AM37" si="11">IF(D7="F",1,)+IF((D7="VB")*AND(((G7-F7)+(I7-H7)+(K7-J7))&gt;0),1,0)</f>
        <v>0</v>
      </c>
      <c r="AN7" s="123">
        <f t="shared" ref="AN7:AN37" si="12">IF((D7="VB")*AND(((G7-F7)+(I7-H7)+(K7-J7))=0),"07:36",0)</f>
        <v>0</v>
      </c>
      <c r="AO7" s="317">
        <f t="shared" ref="AO7:AO37" si="13">IF((F7&lt;=$AQ$2)*AND(G7&gt;=$AQ$3),1,)+IF((H7&lt;=$AQ$2)*AND(I7&gt;=$AQ$3),1,)+IF((J7&lt;=$AQ$2)*AND(K7&gt;=$AQ$3),1,)</f>
        <v>0</v>
      </c>
      <c r="AP7" s="317">
        <f t="shared" ref="AP7:AP37" si="14">IF((F7&lt;=$AR$2)*AND(G7&gt;=$AR$3),1,)+IF((H7&lt;=$AR$2)*AND(I7&gt;=$AR$3),1,)+IF((J7&lt;=$AR$2)*AND(K7&gt;=$AR$3),1,)</f>
        <v>0</v>
      </c>
      <c r="AQ7" s="317">
        <f t="shared" ref="AQ7:AQ37" si="15">IF((F7&lt;=$AS$2)*AND(G7&gt;=$AS$3),1,)+IF((H7&lt;=$AS$2)*AND(I7&gt;=$AS$3),1,)+IF((J7&lt;=$AS$2)*AND(K7&gt;=$AS$3),1,)</f>
        <v>0</v>
      </c>
      <c r="AR7" s="317">
        <f t="shared" ref="AR7:AR37" si="16">IF((F7=$AT$2)*AND(G7&gt;=$AT$3),1,)+IF((H7=$AT$2)*AND(I7&gt;=$AT$3),1,)+IF((J7=$AT$2)*AND(K7&gt;=$AT$3),1,)</f>
        <v>0</v>
      </c>
      <c r="AS7" s="4">
        <f t="shared" ref="AS7:AS37" si="17">IF((E7="MO")*OR(E7="mo"),1,0)</f>
        <v>0</v>
      </c>
      <c r="AT7" s="4">
        <f t="shared" ref="AT7:AT37" si="18">IF((E7="M")*OR(E7="m"),1,0)</f>
        <v>0</v>
      </c>
      <c r="AU7" s="313">
        <f>IF(Data!$H$8="x",AV7,AW7)</f>
        <v>0.31666666666666665</v>
      </c>
      <c r="AV7" s="313">
        <f t="shared" ref="AV7:AV37" si="19">AW7/2</f>
        <v>0.15833333333333333</v>
      </c>
      <c r="AW7" s="313">
        <f>IF(D7="V",AX4,(AX4+"07:36"))</f>
        <v>0.31666666666666665</v>
      </c>
      <c r="AX7" s="6" t="str">
        <f t="shared" ref="AX7:AX37" si="20">B7</f>
        <v>Di</v>
      </c>
      <c r="AY7" s="4">
        <f>IF((R40="HAU1")*AND(R41&lt;&gt;""),VLOOKUP(R41,Barema!$Q$5:$R$31,2),)</f>
        <v>0</v>
      </c>
      <c r="AZ7" s="4" t="s">
        <v>0</v>
      </c>
      <c r="BA7" s="102"/>
    </row>
    <row r="8" spans="1:54" s="378" customFormat="1" x14ac:dyDescent="0.2">
      <c r="A8" s="309"/>
      <c r="B8" s="6" t="s">
        <v>179</v>
      </c>
      <c r="C8" s="311" t="s">
        <v>579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13">
        <f>M7+L8</f>
        <v>0.6333333333333333</v>
      </c>
      <c r="N8" s="338">
        <f>IF(Nov!$H$47="x",AU8+Nov!$N$36,AU8)</f>
        <v>7.2833333333333297</v>
      </c>
      <c r="O8" s="337" t="str">
        <f t="shared" ref="O8:O37" si="21">IF((M8-N8-U$4)&lt;0,"-","+")</f>
        <v>-</v>
      </c>
      <c r="P8" s="339">
        <f t="shared" ref="P8:P37" si="22">ABS(M8-N8-U$4)</f>
        <v>6.6499999999999968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7" si="23">AE8</f>
        <v>0</v>
      </c>
      <c r="W8" s="313">
        <f t="shared" ref="W8:W37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Wo</v>
      </c>
      <c r="AY8" s="4">
        <f>IF((R40="HAU2")*AND(R41&lt;&gt;""),VLOOKUP(R41,Barema!$T$5:$U$31,2),)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167</v>
      </c>
      <c r="C9" s="311" t="s">
        <v>580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>M8+L9</f>
        <v>0.6333333333333333</v>
      </c>
      <c r="N9" s="338">
        <f>IF(Nov!$H$47="x",AU9+Nov!$N$36,AU9)</f>
        <v>7.599999999999997</v>
      </c>
      <c r="O9" s="337" t="str">
        <f t="shared" si="21"/>
        <v>-</v>
      </c>
      <c r="P9" s="339">
        <f t="shared" si="22"/>
        <v>6.9666666666666632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7" si="25">AA9+AB9</f>
        <v>0</v>
      </c>
      <c r="AD9" s="315">
        <f t="shared" si="6"/>
        <v>0</v>
      </c>
      <c r="AE9" s="316">
        <f t="shared" ref="AE9:AE37" si="26">AA9-AD9</f>
        <v>0</v>
      </c>
      <c r="AF9" s="315">
        <f t="shared" ref="AF9:AF37" si="27">AH9+AD9</f>
        <v>0</v>
      </c>
      <c r="AG9" s="316">
        <f t="shared" ref="AG9:AG37" si="28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0.95</v>
      </c>
      <c r="AV9" s="313">
        <f t="shared" si="19"/>
        <v>0.47499999999999998</v>
      </c>
      <c r="AW9" s="313">
        <f>IF(D9="V",AW8,(AW8+"07:36"))</f>
        <v>0.95</v>
      </c>
      <c r="AX9" s="6" t="str">
        <f t="shared" si="20"/>
        <v>Do</v>
      </c>
      <c r="AY9" s="4">
        <f>IF((R40="HAU3")*AND(R41&lt;&gt;""),VLOOKUP(R41,Barema!$W$5:$X$31,2),)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169</v>
      </c>
      <c r="C10" s="311" t="s">
        <v>581</v>
      </c>
      <c r="D10" s="312"/>
      <c r="E10" s="414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 t="shared" ref="M10:M35" si="29">M9+L10</f>
        <v>0.6333333333333333</v>
      </c>
      <c r="N10" s="338">
        <f>IF(Nov!$H$47="x",AU10+Nov!$N$36,AU10)</f>
        <v>7.9166666666666634</v>
      </c>
      <c r="O10" s="337" t="str">
        <f t="shared" si="21"/>
        <v>-</v>
      </c>
      <c r="P10" s="339">
        <f t="shared" si="22"/>
        <v>7.2833333333333297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5"/>
        <v>0</v>
      </c>
      <c r="AD10" s="315">
        <f t="shared" si="6"/>
        <v>0</v>
      </c>
      <c r="AE10" s="316">
        <f t="shared" si="26"/>
        <v>0</v>
      </c>
      <c r="AF10" s="315">
        <f t="shared" si="27"/>
        <v>0</v>
      </c>
      <c r="AG10" s="316">
        <f t="shared" si="28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1.2666666666666666</v>
      </c>
      <c r="AV10" s="313">
        <f t="shared" si="19"/>
        <v>0.6333333333333333</v>
      </c>
      <c r="AW10" s="313">
        <f>IF(D10="V",AW9,(AW9+"07:36"))</f>
        <v>1.2666666666666666</v>
      </c>
      <c r="AX10" s="6" t="str">
        <f t="shared" si="20"/>
        <v>Vr</v>
      </c>
      <c r="AY10" s="4">
        <f>IF((R40="B1")*AND(R41&lt;&gt;""),VLOOKUP(R41,Barema!$Z$5:$AA$31,2),)</f>
        <v>0</v>
      </c>
      <c r="AZ10" s="4" t="s">
        <v>3</v>
      </c>
      <c r="BA10" s="102"/>
    </row>
    <row r="11" spans="1:54" s="376" customFormat="1" x14ac:dyDescent="0.2">
      <c r="A11" s="374"/>
      <c r="B11" s="362" t="s">
        <v>171</v>
      </c>
      <c r="C11" s="363" t="s">
        <v>582</v>
      </c>
      <c r="D11" s="364"/>
      <c r="E11" s="403"/>
      <c r="F11" s="365"/>
      <c r="G11" s="365"/>
      <c r="H11" s="365"/>
      <c r="I11" s="365"/>
      <c r="J11" s="375"/>
      <c r="K11" s="375"/>
      <c r="L11" s="366">
        <f>(G11-F11)+(I11-H11)+(K11-J11)</f>
        <v>0</v>
      </c>
      <c r="M11" s="366">
        <f t="shared" si="29"/>
        <v>0.6333333333333333</v>
      </c>
      <c r="N11" s="382">
        <f>IF(Nov!$H$47="x",AU11+Nov!$N$36,AU11)</f>
        <v>7.9166666666666634</v>
      </c>
      <c r="O11" s="377" t="str">
        <f t="shared" si="21"/>
        <v>-</v>
      </c>
      <c r="P11" s="383">
        <f t="shared" si="22"/>
        <v>7.2833333333333297</v>
      </c>
      <c r="Q11" s="364">
        <f t="shared" si="0"/>
        <v>0</v>
      </c>
      <c r="R11" s="364">
        <f t="shared" si="1"/>
        <v>0</v>
      </c>
      <c r="S11" s="364">
        <f t="shared" si="2"/>
        <v>0</v>
      </c>
      <c r="T11" s="364">
        <f t="shared" si="3"/>
        <v>0</v>
      </c>
      <c r="U11" s="366">
        <f>L11</f>
        <v>0</v>
      </c>
      <c r="V11" s="366">
        <f t="shared" si="23"/>
        <v>0</v>
      </c>
      <c r="W11" s="366">
        <f t="shared" si="24"/>
        <v>0</v>
      </c>
      <c r="X11" s="364"/>
      <c r="Y11" s="365"/>
      <c r="Z11" s="365"/>
      <c r="AA11" s="368">
        <f t="shared" si="4"/>
        <v>0</v>
      </c>
      <c r="AB11" s="368">
        <f t="shared" si="5"/>
        <v>0</v>
      </c>
      <c r="AC11" s="368">
        <f t="shared" si="25"/>
        <v>0</v>
      </c>
      <c r="AD11" s="368">
        <f t="shared" si="6"/>
        <v>0</v>
      </c>
      <c r="AE11" s="369">
        <f t="shared" si="26"/>
        <v>0</v>
      </c>
      <c r="AF11" s="368">
        <f t="shared" si="27"/>
        <v>0</v>
      </c>
      <c r="AG11" s="369">
        <f t="shared" si="28"/>
        <v>0</v>
      </c>
      <c r="AH11" s="368">
        <f t="shared" si="7"/>
        <v>0</v>
      </c>
      <c r="AI11" s="370">
        <f>IF((D11&lt;&gt;""),VLOOKUP(D11,Data!$E$36:$H$53,4),)</f>
        <v>0</v>
      </c>
      <c r="AJ11" s="370">
        <f t="shared" si="8"/>
        <v>0</v>
      </c>
      <c r="AK11" s="371">
        <f t="shared" si="9"/>
        <v>0</v>
      </c>
      <c r="AL11" s="371">
        <f t="shared" si="10"/>
        <v>0</v>
      </c>
      <c r="AM11" s="372">
        <f t="shared" si="11"/>
        <v>0</v>
      </c>
      <c r="AN11" s="370">
        <f t="shared" si="12"/>
        <v>0</v>
      </c>
      <c r="AO11" s="373">
        <f t="shared" si="13"/>
        <v>0</v>
      </c>
      <c r="AP11" s="373">
        <f t="shared" si="14"/>
        <v>0</v>
      </c>
      <c r="AQ11" s="373">
        <f t="shared" si="15"/>
        <v>0</v>
      </c>
      <c r="AR11" s="373">
        <f t="shared" si="16"/>
        <v>0</v>
      </c>
      <c r="AS11" s="371">
        <f t="shared" si="17"/>
        <v>0</v>
      </c>
      <c r="AT11" s="371">
        <f t="shared" si="18"/>
        <v>0</v>
      </c>
      <c r="AU11" s="366">
        <f>IF(Data!$H$8="x",AV11,AW11)</f>
        <v>1.2666666666666666</v>
      </c>
      <c r="AV11" s="366">
        <f t="shared" si="19"/>
        <v>0.6333333333333333</v>
      </c>
      <c r="AW11" s="366">
        <f>AW10</f>
        <v>1.2666666666666666</v>
      </c>
      <c r="AX11" s="362" t="str">
        <f t="shared" si="20"/>
        <v>Za</v>
      </c>
      <c r="AY11" s="371">
        <f>IF((R40="B2")*AND(R41&lt;&gt;""),VLOOKUP(R41,Barema!$AC$5:$AD$34,2),)</f>
        <v>0</v>
      </c>
      <c r="AZ11" s="371" t="s">
        <v>4</v>
      </c>
      <c r="BA11" s="439"/>
    </row>
    <row r="12" spans="1:54" s="376" customFormat="1" x14ac:dyDescent="0.2">
      <c r="A12" s="374"/>
      <c r="B12" s="362" t="s">
        <v>173</v>
      </c>
      <c r="C12" s="363" t="s">
        <v>583</v>
      </c>
      <c r="D12" s="364"/>
      <c r="E12" s="403"/>
      <c r="F12" s="365"/>
      <c r="G12" s="365"/>
      <c r="H12" s="365"/>
      <c r="I12" s="365"/>
      <c r="J12" s="375"/>
      <c r="K12" s="375"/>
      <c r="L12" s="366">
        <f>(G12-F12)+(I12-H12)+(K12-J12)</f>
        <v>0</v>
      </c>
      <c r="M12" s="366">
        <f t="shared" si="29"/>
        <v>0.6333333333333333</v>
      </c>
      <c r="N12" s="382">
        <f>IF(Nov!$H$47="x",AU12+Nov!$N$36,AU12)</f>
        <v>7.9166666666666634</v>
      </c>
      <c r="O12" s="377" t="str">
        <f t="shared" si="21"/>
        <v>-</v>
      </c>
      <c r="P12" s="383">
        <f t="shared" si="22"/>
        <v>7.2833333333333297</v>
      </c>
      <c r="Q12" s="364">
        <f t="shared" si="0"/>
        <v>0</v>
      </c>
      <c r="R12" s="364">
        <f t="shared" si="1"/>
        <v>0</v>
      </c>
      <c r="S12" s="364">
        <f t="shared" si="2"/>
        <v>0</v>
      </c>
      <c r="T12" s="364">
        <f t="shared" si="3"/>
        <v>0</v>
      </c>
      <c r="U12" s="366">
        <f>L12</f>
        <v>0</v>
      </c>
      <c r="V12" s="366">
        <f t="shared" si="23"/>
        <v>0</v>
      </c>
      <c r="W12" s="366">
        <f t="shared" si="24"/>
        <v>0</v>
      </c>
      <c r="X12" s="364"/>
      <c r="Y12" s="365"/>
      <c r="Z12" s="365"/>
      <c r="AA12" s="368">
        <f t="shared" si="4"/>
        <v>0</v>
      </c>
      <c r="AB12" s="368">
        <f t="shared" si="5"/>
        <v>0</v>
      </c>
      <c r="AC12" s="368">
        <f t="shared" si="25"/>
        <v>0</v>
      </c>
      <c r="AD12" s="368">
        <f t="shared" si="6"/>
        <v>0</v>
      </c>
      <c r="AE12" s="369">
        <f t="shared" si="26"/>
        <v>0</v>
      </c>
      <c r="AF12" s="368">
        <f t="shared" si="27"/>
        <v>0</v>
      </c>
      <c r="AG12" s="369">
        <f t="shared" si="28"/>
        <v>0</v>
      </c>
      <c r="AH12" s="368">
        <f t="shared" si="7"/>
        <v>0</v>
      </c>
      <c r="AI12" s="370">
        <f>IF((D12&lt;&gt;""),VLOOKUP(D12,Data!$E$36:$H$53,4),)</f>
        <v>0</v>
      </c>
      <c r="AJ12" s="370">
        <f t="shared" si="8"/>
        <v>0</v>
      </c>
      <c r="AK12" s="371">
        <f t="shared" si="9"/>
        <v>0</v>
      </c>
      <c r="AL12" s="371">
        <f t="shared" si="10"/>
        <v>0</v>
      </c>
      <c r="AM12" s="372">
        <f t="shared" si="11"/>
        <v>0</v>
      </c>
      <c r="AN12" s="370">
        <f t="shared" si="12"/>
        <v>0</v>
      </c>
      <c r="AO12" s="373">
        <f t="shared" si="13"/>
        <v>0</v>
      </c>
      <c r="AP12" s="373">
        <f t="shared" si="14"/>
        <v>0</v>
      </c>
      <c r="AQ12" s="373">
        <f t="shared" si="15"/>
        <v>0</v>
      </c>
      <c r="AR12" s="373">
        <f t="shared" si="16"/>
        <v>0</v>
      </c>
      <c r="AS12" s="371">
        <f t="shared" si="17"/>
        <v>0</v>
      </c>
      <c r="AT12" s="371">
        <f t="shared" si="18"/>
        <v>0</v>
      </c>
      <c r="AU12" s="366">
        <f>IF(Data!$H$8="x",AV12,AW12)</f>
        <v>1.2666666666666666</v>
      </c>
      <c r="AV12" s="366">
        <f t="shared" si="19"/>
        <v>0.6333333333333333</v>
      </c>
      <c r="AW12" s="366">
        <f>AW11</f>
        <v>1.2666666666666666</v>
      </c>
      <c r="AX12" s="362" t="str">
        <f t="shared" si="20"/>
        <v>Zo</v>
      </c>
      <c r="AY12" s="371">
        <f>IF((R40="B3")*AND(R41&lt;&gt;""),VLOOKUP(R41,Barema!$AF$5:$AG$34,2),)</f>
        <v>0</v>
      </c>
      <c r="AZ12" s="371" t="s">
        <v>5</v>
      </c>
      <c r="BA12" s="439"/>
    </row>
    <row r="13" spans="1:54" s="378" customFormat="1" x14ac:dyDescent="0.2">
      <c r="A13" s="309"/>
      <c r="B13" s="6" t="s">
        <v>175</v>
      </c>
      <c r="C13" s="311" t="s">
        <v>584</v>
      </c>
      <c r="D13" s="312"/>
      <c r="E13" s="414"/>
      <c r="F13" s="274"/>
      <c r="G13" s="274"/>
      <c r="H13" s="310"/>
      <c r="I13" s="310"/>
      <c r="J13" s="336"/>
      <c r="K13" s="336"/>
      <c r="L13" s="313">
        <f>(G13-F13)+(I13-H13)+(K13-J13)+AI13+AN13</f>
        <v>0</v>
      </c>
      <c r="M13" s="313">
        <f t="shared" si="29"/>
        <v>0.6333333333333333</v>
      </c>
      <c r="N13" s="338">
        <f>IF(Nov!$H$47="x",AU13+Nov!$N$36,AU13)</f>
        <v>8.2333333333333307</v>
      </c>
      <c r="O13" s="337" t="str">
        <f t="shared" si="21"/>
        <v>-</v>
      </c>
      <c r="P13" s="339">
        <f t="shared" si="22"/>
        <v>7.5999999999999979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5"/>
        <v>0</v>
      </c>
      <c r="AD13" s="315">
        <f t="shared" si="6"/>
        <v>0</v>
      </c>
      <c r="AE13" s="316">
        <f t="shared" si="26"/>
        <v>0</v>
      </c>
      <c r="AF13" s="315">
        <f t="shared" si="27"/>
        <v>0</v>
      </c>
      <c r="AG13" s="316">
        <f t="shared" si="28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Ma</v>
      </c>
      <c r="AY13" s="4">
        <f>IF((R40="B4")*AND(R41&lt;&gt;""),VLOOKUP(R41,Barema!$AI$5:$AJ$35,2),)</f>
        <v>0</v>
      </c>
      <c r="AZ13" s="4" t="s">
        <v>6</v>
      </c>
      <c r="BA13" s="102"/>
    </row>
    <row r="14" spans="1:54" s="378" customFormat="1" x14ac:dyDescent="0.2">
      <c r="A14" s="309"/>
      <c r="B14" s="6" t="s">
        <v>177</v>
      </c>
      <c r="C14" s="311" t="s">
        <v>585</v>
      </c>
      <c r="D14" s="312"/>
      <c r="E14" s="414"/>
      <c r="F14" s="274"/>
      <c r="G14" s="274"/>
      <c r="H14" s="310"/>
      <c r="I14" s="310"/>
      <c r="J14" s="336"/>
      <c r="K14" s="336"/>
      <c r="L14" s="313">
        <f>(G14-F14)+(I14-H14)+(K14-J14)+AI14+AN14</f>
        <v>0</v>
      </c>
      <c r="M14" s="313">
        <f t="shared" si="29"/>
        <v>0.6333333333333333</v>
      </c>
      <c r="N14" s="338">
        <f>IF(Nov!$H$47="x",AU14+Nov!$N$36,AU14)</f>
        <v>8.5499999999999972</v>
      </c>
      <c r="O14" s="337" t="str">
        <f t="shared" si="21"/>
        <v>-</v>
      </c>
      <c r="P14" s="339">
        <f t="shared" si="22"/>
        <v>7.9166666666666643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5"/>
        <v>0</v>
      </c>
      <c r="AD14" s="315">
        <f t="shared" si="6"/>
        <v>0</v>
      </c>
      <c r="AE14" s="316">
        <f t="shared" si="26"/>
        <v>0</v>
      </c>
      <c r="AF14" s="315">
        <f t="shared" si="27"/>
        <v>0</v>
      </c>
      <c r="AG14" s="316">
        <f t="shared" si="28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Di</v>
      </c>
      <c r="AY14" s="4">
        <f>IF((R40="B5")*AND(R41&lt;&gt;""),VLOOKUP(R41,Barema!$AL$5:$AM$35,2),)</f>
        <v>0</v>
      </c>
      <c r="AZ14" s="4" t="s">
        <v>7</v>
      </c>
      <c r="BA14" s="102"/>
    </row>
    <row r="15" spans="1:54" s="378" customFormat="1" x14ac:dyDescent="0.2">
      <c r="A15" s="309"/>
      <c r="B15" s="6" t="s">
        <v>179</v>
      </c>
      <c r="C15" s="311" t="s">
        <v>586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>M14+L15</f>
        <v>0.6333333333333333</v>
      </c>
      <c r="N15" s="338">
        <f>IF(Nov!$H$47="x",AU15+Nov!$N$36,AU15)</f>
        <v>8.8666666666666636</v>
      </c>
      <c r="O15" s="337" t="str">
        <f t="shared" si="21"/>
        <v>-</v>
      </c>
      <c r="P15" s="339">
        <f t="shared" si="22"/>
        <v>8.2333333333333307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5"/>
        <v>0</v>
      </c>
      <c r="AD15" s="315">
        <f t="shared" si="6"/>
        <v>0</v>
      </c>
      <c r="AE15" s="316">
        <f t="shared" si="26"/>
        <v>0</v>
      </c>
      <c r="AF15" s="315">
        <f t="shared" si="27"/>
        <v>0</v>
      </c>
      <c r="AG15" s="316">
        <f t="shared" si="28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Wo</v>
      </c>
      <c r="AY15" s="4">
        <f>IF((R40="M1.1")*AND(R41&lt;&gt;""),VLOOKUP(R41,Barema!$AO$5:$AP$34,2),)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167</v>
      </c>
      <c r="C16" s="311" t="s">
        <v>587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>M15+L16</f>
        <v>0.6333333333333333</v>
      </c>
      <c r="N16" s="338">
        <f>IF(Nov!$H$47="x",AU16+Nov!$N$36,AU16)</f>
        <v>9.18333333333333</v>
      </c>
      <c r="O16" s="337" t="str">
        <f t="shared" si="21"/>
        <v>-</v>
      </c>
      <c r="P16" s="339">
        <f t="shared" si="22"/>
        <v>8.5499999999999972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5"/>
        <v>0</v>
      </c>
      <c r="AD16" s="315">
        <f t="shared" si="6"/>
        <v>0</v>
      </c>
      <c r="AE16" s="316">
        <f t="shared" si="26"/>
        <v>0</v>
      </c>
      <c r="AF16" s="315">
        <f t="shared" si="27"/>
        <v>0</v>
      </c>
      <c r="AG16" s="316">
        <f t="shared" si="28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2.5333333333333332</v>
      </c>
      <c r="AV16" s="313">
        <f>AW16/2</f>
        <v>1.2666666666666666</v>
      </c>
      <c r="AW16" s="313">
        <f>IF(D16="V",AW15,(AW15+"07:36"))</f>
        <v>2.5333333333333332</v>
      </c>
      <c r="AX16" s="6" t="str">
        <f t="shared" si="20"/>
        <v>Do</v>
      </c>
      <c r="AY16" s="4">
        <f>IF((R40="M1.2")*AND(R41&lt;&gt;""),VLOOKUP(R41,Barema!$AR$5:$AS$34,2),)</f>
        <v>0</v>
      </c>
      <c r="AZ16" s="4" t="s">
        <v>9</v>
      </c>
      <c r="BA16" s="102"/>
    </row>
    <row r="17" spans="1:53" s="378" customFormat="1" x14ac:dyDescent="0.2">
      <c r="A17" s="309"/>
      <c r="B17" s="6" t="s">
        <v>169</v>
      </c>
      <c r="C17" s="311" t="s">
        <v>588</v>
      </c>
      <c r="D17" s="312"/>
      <c r="E17" s="414"/>
      <c r="F17" s="274"/>
      <c r="G17" s="274"/>
      <c r="H17" s="310"/>
      <c r="I17" s="310"/>
      <c r="J17" s="336"/>
      <c r="K17" s="336"/>
      <c r="L17" s="313">
        <f>(G17-F17)+(I17-H17)+(K17-J17)+AI17+AN17</f>
        <v>0</v>
      </c>
      <c r="M17" s="313">
        <f t="shared" si="29"/>
        <v>0.6333333333333333</v>
      </c>
      <c r="N17" s="338">
        <f>IF(Nov!$H$47="x",AU17+Nov!$N$36,AU17)</f>
        <v>9.4999999999999964</v>
      </c>
      <c r="O17" s="337" t="str">
        <f t="shared" si="21"/>
        <v>-</v>
      </c>
      <c r="P17" s="339">
        <f t="shared" si="22"/>
        <v>8.8666666666666636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3"/>
        <v>0</v>
      </c>
      <c r="W17" s="313">
        <f t="shared" si="24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5"/>
        <v>0</v>
      </c>
      <c r="AD17" s="315">
        <f t="shared" si="6"/>
        <v>0</v>
      </c>
      <c r="AE17" s="316">
        <f t="shared" si="26"/>
        <v>0</v>
      </c>
      <c r="AF17" s="315">
        <f t="shared" si="27"/>
        <v>0</v>
      </c>
      <c r="AG17" s="316">
        <f t="shared" si="28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2.8499999999999996</v>
      </c>
      <c r="AV17" s="313">
        <f t="shared" si="19"/>
        <v>1.4249999999999998</v>
      </c>
      <c r="AW17" s="313">
        <f>IF(D17="V",AW16,(AW16+"07:36"))</f>
        <v>2.8499999999999996</v>
      </c>
      <c r="AX17" s="6" t="str">
        <f t="shared" si="20"/>
        <v>Vr</v>
      </c>
      <c r="AY17" s="4">
        <f>IF((R40="M2.1")*AND(R41&lt;&gt;""),VLOOKUP(R41,Barema!$AU$5:$AV$34,2),)</f>
        <v>0</v>
      </c>
      <c r="AZ17" s="4" t="s">
        <v>10</v>
      </c>
      <c r="BA17" s="102"/>
    </row>
    <row r="18" spans="1:53" s="376" customFormat="1" x14ac:dyDescent="0.2">
      <c r="A18" s="374"/>
      <c r="B18" s="362" t="s">
        <v>171</v>
      </c>
      <c r="C18" s="363" t="s">
        <v>589</v>
      </c>
      <c r="D18" s="364"/>
      <c r="E18" s="403"/>
      <c r="F18" s="365"/>
      <c r="G18" s="365"/>
      <c r="H18" s="365"/>
      <c r="I18" s="365"/>
      <c r="J18" s="375"/>
      <c r="K18" s="375"/>
      <c r="L18" s="366">
        <f>(G18-F18)+(I18-H18)+(K18-J18)</f>
        <v>0</v>
      </c>
      <c r="M18" s="366">
        <f t="shared" si="29"/>
        <v>0.6333333333333333</v>
      </c>
      <c r="N18" s="382">
        <f>IF(Nov!$H$47="x",AU18+Nov!$N$36,AU18)</f>
        <v>9.4999999999999964</v>
      </c>
      <c r="O18" s="377" t="str">
        <f t="shared" si="21"/>
        <v>-</v>
      </c>
      <c r="P18" s="383">
        <f t="shared" si="22"/>
        <v>8.8666666666666636</v>
      </c>
      <c r="Q18" s="364">
        <f t="shared" si="0"/>
        <v>0</v>
      </c>
      <c r="R18" s="364">
        <f t="shared" si="1"/>
        <v>0</v>
      </c>
      <c r="S18" s="364">
        <f t="shared" si="2"/>
        <v>0</v>
      </c>
      <c r="T18" s="364">
        <f t="shared" si="3"/>
        <v>0</v>
      </c>
      <c r="U18" s="366">
        <f>L18</f>
        <v>0</v>
      </c>
      <c r="V18" s="366">
        <f t="shared" si="23"/>
        <v>0</v>
      </c>
      <c r="W18" s="366">
        <f t="shared" si="24"/>
        <v>0</v>
      </c>
      <c r="X18" s="364"/>
      <c r="Y18" s="365"/>
      <c r="Z18" s="365"/>
      <c r="AA18" s="368">
        <f t="shared" si="4"/>
        <v>0</v>
      </c>
      <c r="AB18" s="368">
        <f t="shared" si="5"/>
        <v>0</v>
      </c>
      <c r="AC18" s="368">
        <f t="shared" si="25"/>
        <v>0</v>
      </c>
      <c r="AD18" s="368">
        <f t="shared" si="6"/>
        <v>0</v>
      </c>
      <c r="AE18" s="369">
        <f t="shared" si="26"/>
        <v>0</v>
      </c>
      <c r="AF18" s="368">
        <f t="shared" si="27"/>
        <v>0</v>
      </c>
      <c r="AG18" s="369">
        <f t="shared" si="28"/>
        <v>0</v>
      </c>
      <c r="AH18" s="368">
        <f t="shared" si="7"/>
        <v>0</v>
      </c>
      <c r="AI18" s="370">
        <f>IF((D18&lt;&gt;""),VLOOKUP(D18,Data!$E$36:$H$53,4),)</f>
        <v>0</v>
      </c>
      <c r="AJ18" s="370">
        <f t="shared" si="8"/>
        <v>0</v>
      </c>
      <c r="AK18" s="371">
        <f t="shared" si="9"/>
        <v>0</v>
      </c>
      <c r="AL18" s="371">
        <f t="shared" si="10"/>
        <v>0</v>
      </c>
      <c r="AM18" s="372">
        <f t="shared" si="11"/>
        <v>0</v>
      </c>
      <c r="AN18" s="370">
        <f t="shared" si="12"/>
        <v>0</v>
      </c>
      <c r="AO18" s="373">
        <f t="shared" si="13"/>
        <v>0</v>
      </c>
      <c r="AP18" s="373">
        <f t="shared" si="14"/>
        <v>0</v>
      </c>
      <c r="AQ18" s="373">
        <f t="shared" si="15"/>
        <v>0</v>
      </c>
      <c r="AR18" s="373">
        <f t="shared" si="16"/>
        <v>0</v>
      </c>
      <c r="AS18" s="371">
        <f t="shared" si="17"/>
        <v>0</v>
      </c>
      <c r="AT18" s="371">
        <f t="shared" si="18"/>
        <v>0</v>
      </c>
      <c r="AU18" s="366">
        <f>IF(Data!$H$8="x",AV18,AW18)</f>
        <v>2.8499999999999996</v>
      </c>
      <c r="AV18" s="366">
        <f t="shared" si="19"/>
        <v>1.4249999999999998</v>
      </c>
      <c r="AW18" s="366">
        <f>AW17</f>
        <v>2.8499999999999996</v>
      </c>
      <c r="AX18" s="362" t="str">
        <f t="shared" si="20"/>
        <v>Za</v>
      </c>
      <c r="AY18" s="371">
        <f>IF((R40="M2.2")*AND(R41&lt;&gt;""),VLOOKUP(R41,Barema!$AX$5:$AY$34,2),)</f>
        <v>0</v>
      </c>
      <c r="AZ18" s="371" t="s">
        <v>11</v>
      </c>
      <c r="BA18" s="439"/>
    </row>
    <row r="19" spans="1:53" s="376" customFormat="1" x14ac:dyDescent="0.2">
      <c r="A19" s="374"/>
      <c r="B19" s="362" t="s">
        <v>173</v>
      </c>
      <c r="C19" s="363" t="s">
        <v>590</v>
      </c>
      <c r="D19" s="364"/>
      <c r="E19" s="403"/>
      <c r="F19" s="365"/>
      <c r="G19" s="365"/>
      <c r="H19" s="365"/>
      <c r="I19" s="365"/>
      <c r="J19" s="375"/>
      <c r="K19" s="375"/>
      <c r="L19" s="366">
        <f>(G19-F19)+(I19-H19)+(K19-J19)</f>
        <v>0</v>
      </c>
      <c r="M19" s="366">
        <f t="shared" si="29"/>
        <v>0.6333333333333333</v>
      </c>
      <c r="N19" s="382">
        <f>IF(Nov!$H$47="x",AU19+Nov!$N$36,AU19)</f>
        <v>9.4999999999999964</v>
      </c>
      <c r="O19" s="377" t="str">
        <f t="shared" si="21"/>
        <v>-</v>
      </c>
      <c r="P19" s="383">
        <f t="shared" si="22"/>
        <v>8.8666666666666636</v>
      </c>
      <c r="Q19" s="364">
        <f t="shared" si="0"/>
        <v>0</v>
      </c>
      <c r="R19" s="364">
        <f t="shared" si="1"/>
        <v>0</v>
      </c>
      <c r="S19" s="364">
        <f t="shared" si="2"/>
        <v>0</v>
      </c>
      <c r="T19" s="364">
        <f t="shared" si="3"/>
        <v>0</v>
      </c>
      <c r="U19" s="366">
        <f>L19</f>
        <v>0</v>
      </c>
      <c r="V19" s="366">
        <f t="shared" si="23"/>
        <v>0</v>
      </c>
      <c r="W19" s="366">
        <f t="shared" si="24"/>
        <v>0</v>
      </c>
      <c r="X19" s="364"/>
      <c r="Y19" s="365"/>
      <c r="Z19" s="365"/>
      <c r="AA19" s="368">
        <f t="shared" si="4"/>
        <v>0</v>
      </c>
      <c r="AB19" s="368">
        <f t="shared" si="5"/>
        <v>0</v>
      </c>
      <c r="AC19" s="368">
        <f t="shared" si="25"/>
        <v>0</v>
      </c>
      <c r="AD19" s="368">
        <f t="shared" si="6"/>
        <v>0</v>
      </c>
      <c r="AE19" s="369">
        <f t="shared" si="26"/>
        <v>0</v>
      </c>
      <c r="AF19" s="368">
        <f t="shared" si="27"/>
        <v>0</v>
      </c>
      <c r="AG19" s="369">
        <f t="shared" si="28"/>
        <v>0</v>
      </c>
      <c r="AH19" s="368">
        <f t="shared" si="7"/>
        <v>0</v>
      </c>
      <c r="AI19" s="370">
        <f>IF((D19&lt;&gt;""),VLOOKUP(D19,Data!$E$36:$H$53,4),)</f>
        <v>0</v>
      </c>
      <c r="AJ19" s="370">
        <f t="shared" si="8"/>
        <v>0</v>
      </c>
      <c r="AK19" s="371">
        <f t="shared" si="9"/>
        <v>0</v>
      </c>
      <c r="AL19" s="371">
        <f t="shared" si="10"/>
        <v>0</v>
      </c>
      <c r="AM19" s="372">
        <f t="shared" si="11"/>
        <v>0</v>
      </c>
      <c r="AN19" s="370">
        <f t="shared" si="12"/>
        <v>0</v>
      </c>
      <c r="AO19" s="373">
        <f t="shared" si="13"/>
        <v>0</v>
      </c>
      <c r="AP19" s="373">
        <f t="shared" si="14"/>
        <v>0</v>
      </c>
      <c r="AQ19" s="373">
        <f t="shared" si="15"/>
        <v>0</v>
      </c>
      <c r="AR19" s="373">
        <f t="shared" si="16"/>
        <v>0</v>
      </c>
      <c r="AS19" s="371">
        <f t="shared" si="17"/>
        <v>0</v>
      </c>
      <c r="AT19" s="371">
        <f t="shared" si="18"/>
        <v>0</v>
      </c>
      <c r="AU19" s="366">
        <f>IF(Data!$H$8="x",AV19,AW19)</f>
        <v>2.8499999999999996</v>
      </c>
      <c r="AV19" s="366">
        <f t="shared" si="19"/>
        <v>1.4249999999999998</v>
      </c>
      <c r="AW19" s="366">
        <f>AW18</f>
        <v>2.8499999999999996</v>
      </c>
      <c r="AX19" s="362" t="str">
        <f t="shared" si="20"/>
        <v>Zo</v>
      </c>
      <c r="AY19" s="371">
        <f>IF((R40="M3.1")*AND(R41&lt;&gt;""),VLOOKUP(R41,Barema!$BA$5:$BB$34,2),)</f>
        <v>0</v>
      </c>
      <c r="AZ19" s="371" t="s">
        <v>12</v>
      </c>
      <c r="BA19" s="439"/>
    </row>
    <row r="20" spans="1:53" s="378" customFormat="1" x14ac:dyDescent="0.2">
      <c r="A20" s="309"/>
      <c r="B20" s="6" t="s">
        <v>175</v>
      </c>
      <c r="C20" s="311" t="s">
        <v>591</v>
      </c>
      <c r="D20" s="312"/>
      <c r="E20" s="414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13">
        <f t="shared" si="29"/>
        <v>0.6333333333333333</v>
      </c>
      <c r="N20" s="338">
        <f>IF(Nov!$H$47="x",AU20+Nov!$N$36,AU20)</f>
        <v>9.8166666666666629</v>
      </c>
      <c r="O20" s="337" t="str">
        <f t="shared" si="21"/>
        <v>-</v>
      </c>
      <c r="P20" s="339">
        <f t="shared" si="22"/>
        <v>9.18333333333333</v>
      </c>
      <c r="Q20" s="312">
        <f t="shared" si="0"/>
        <v>0</v>
      </c>
      <c r="R20" s="312">
        <f t="shared" si="1"/>
        <v>0</v>
      </c>
      <c r="S20" s="312">
        <f t="shared" si="2"/>
        <v>0</v>
      </c>
      <c r="T20" s="312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5"/>
        <v>0</v>
      </c>
      <c r="AD20" s="315">
        <f t="shared" si="6"/>
        <v>0</v>
      </c>
      <c r="AE20" s="316">
        <f t="shared" si="26"/>
        <v>0</v>
      </c>
      <c r="AF20" s="315">
        <f t="shared" si="27"/>
        <v>0</v>
      </c>
      <c r="AG20" s="316">
        <f t="shared" si="28"/>
        <v>0</v>
      </c>
      <c r="AH20" s="315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>AW20/2</f>
        <v>1.583333333333333</v>
      </c>
      <c r="AW20" s="313">
        <f>IF(D20="V",AW19,(AW19+"07:36"))</f>
        <v>3.1666666666666661</v>
      </c>
      <c r="AX20" s="6" t="str">
        <f t="shared" si="20"/>
        <v>Ma</v>
      </c>
      <c r="AY20" s="4">
        <f>IF((R40="M3.2")*AND(R41&lt;&gt;""),VLOOKUP(R41,Barema!$BD$5:$BE$34,2),)</f>
        <v>0</v>
      </c>
      <c r="AZ20" s="4" t="s">
        <v>13</v>
      </c>
      <c r="BA20" s="102"/>
    </row>
    <row r="21" spans="1:53" s="378" customFormat="1" x14ac:dyDescent="0.2">
      <c r="A21" s="309"/>
      <c r="B21" s="6" t="s">
        <v>177</v>
      </c>
      <c r="C21" s="311" t="s">
        <v>592</v>
      </c>
      <c r="D21" s="312"/>
      <c r="E21" s="414"/>
      <c r="F21" s="274"/>
      <c r="G21" s="274"/>
      <c r="H21" s="310"/>
      <c r="I21" s="310"/>
      <c r="J21" s="336"/>
      <c r="K21" s="336"/>
      <c r="L21" s="313">
        <f>(G21-F21)+(I21-H21)+(K21-J21)+AI21+AN21</f>
        <v>0</v>
      </c>
      <c r="M21" s="313">
        <f t="shared" si="29"/>
        <v>0.6333333333333333</v>
      </c>
      <c r="N21" s="338">
        <f>IF(Nov!$H$47="x",AU21+Nov!$N$36,AU21)</f>
        <v>10.133333333333329</v>
      </c>
      <c r="O21" s="337" t="str">
        <f t="shared" si="21"/>
        <v>-</v>
      </c>
      <c r="P21" s="339">
        <f t="shared" si="22"/>
        <v>9.4999999999999964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5"/>
        <v>0</v>
      </c>
      <c r="AD21" s="315">
        <f t="shared" si="6"/>
        <v>0</v>
      </c>
      <c r="AE21" s="316">
        <f t="shared" si="26"/>
        <v>0</v>
      </c>
      <c r="AF21" s="315">
        <f t="shared" si="27"/>
        <v>0</v>
      </c>
      <c r="AG21" s="316">
        <f t="shared" si="28"/>
        <v>0</v>
      </c>
      <c r="AH21" s="315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 t="shared" si="19"/>
        <v>1.7416666666666663</v>
      </c>
      <c r="AW21" s="313">
        <f>IF(D21="V",AW20,(AW20+"07:36"))</f>
        <v>3.4833333333333325</v>
      </c>
      <c r="AX21" s="6" t="str">
        <f t="shared" si="20"/>
        <v>Di</v>
      </c>
      <c r="AY21" s="4">
        <f>IF((R40="M4.1")*AND(R41&lt;&gt;""),VLOOKUP(R41,Barema!$BG$5:$BH$34,2),)</f>
        <v>0</v>
      </c>
      <c r="AZ21" s="4" t="s">
        <v>14</v>
      </c>
      <c r="BA21" s="102"/>
    </row>
    <row r="22" spans="1:53" s="378" customFormat="1" x14ac:dyDescent="0.2">
      <c r="A22" s="309"/>
      <c r="B22" s="6" t="s">
        <v>179</v>
      </c>
      <c r="C22" s="311" t="s">
        <v>593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>M21+L22</f>
        <v>0.6333333333333333</v>
      </c>
      <c r="N22" s="338">
        <f>IF(Nov!$H$47="x",AU22+Nov!$N$36,AU22)</f>
        <v>10.449999999999996</v>
      </c>
      <c r="O22" s="337" t="str">
        <f t="shared" si="21"/>
        <v>-</v>
      </c>
      <c r="P22" s="339">
        <f t="shared" si="22"/>
        <v>9.8166666666666629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5"/>
        <v>0</v>
      </c>
      <c r="AD22" s="315">
        <f t="shared" si="6"/>
        <v>0</v>
      </c>
      <c r="AE22" s="316">
        <f t="shared" si="26"/>
        <v>0</v>
      </c>
      <c r="AF22" s="315">
        <f t="shared" si="27"/>
        <v>0</v>
      </c>
      <c r="AG22" s="316">
        <f t="shared" si="28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Wo</v>
      </c>
      <c r="AY22" s="4">
        <f>IF((R40="M4.2")*AND(R41&lt;&gt;""),VLOOKUP(R41,Barema!$BJ$5:$BK$34,2),)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167</v>
      </c>
      <c r="C23" s="311" t="s">
        <v>594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>M22+L23</f>
        <v>0.6333333333333333</v>
      </c>
      <c r="N23" s="338">
        <f>IF(Nov!$H$47="x",AU23+Nov!$N$36,AU23)</f>
        <v>10.766666666666662</v>
      </c>
      <c r="O23" s="337" t="str">
        <f t="shared" si="21"/>
        <v>-</v>
      </c>
      <c r="P23" s="339">
        <f t="shared" si="22"/>
        <v>10.133333333333329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5"/>
        <v>0</v>
      </c>
      <c r="AD23" s="315">
        <f t="shared" si="6"/>
        <v>0</v>
      </c>
      <c r="AE23" s="316">
        <f t="shared" si="26"/>
        <v>0</v>
      </c>
      <c r="AF23" s="315">
        <f t="shared" si="27"/>
        <v>0</v>
      </c>
      <c r="AG23" s="316">
        <f t="shared" si="28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4.1166666666666654</v>
      </c>
      <c r="AV23" s="313">
        <f t="shared" si="19"/>
        <v>2.0583333333333327</v>
      </c>
      <c r="AW23" s="313">
        <f>IF(D23="V",AW22,(AW22+"07:36"))</f>
        <v>4.1166666666666654</v>
      </c>
      <c r="AX23" s="6" t="str">
        <f t="shared" si="20"/>
        <v>Do</v>
      </c>
      <c r="AY23" s="4">
        <f>IF((R40="M5.1")*AND(R41&lt;&gt;""),VLOOKUP(R41,Barema!$BM$5:$BN$35,2),)</f>
        <v>33228</v>
      </c>
      <c r="AZ23" s="4" t="s">
        <v>16</v>
      </c>
      <c r="BA23" s="102"/>
    </row>
    <row r="24" spans="1:53" s="378" customFormat="1" x14ac:dyDescent="0.2">
      <c r="A24" s="309"/>
      <c r="B24" s="6" t="s">
        <v>169</v>
      </c>
      <c r="C24" s="311" t="s">
        <v>595</v>
      </c>
      <c r="D24" s="312"/>
      <c r="E24" s="414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 t="shared" si="29"/>
        <v>0.6333333333333333</v>
      </c>
      <c r="N24" s="338">
        <f>IF(Nov!$H$47="x",AU24+Nov!$N$36,AU24)</f>
        <v>11.083333333333329</v>
      </c>
      <c r="O24" s="337" t="str">
        <f t="shared" si="21"/>
        <v>-</v>
      </c>
      <c r="P24" s="339">
        <f t="shared" si="22"/>
        <v>10.449999999999996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5"/>
        <v>0</v>
      </c>
      <c r="AD24" s="315">
        <f t="shared" si="6"/>
        <v>0</v>
      </c>
      <c r="AE24" s="316">
        <f t="shared" si="26"/>
        <v>0</v>
      </c>
      <c r="AF24" s="315">
        <f t="shared" si="27"/>
        <v>0</v>
      </c>
      <c r="AG24" s="316">
        <f t="shared" si="28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4.4333333333333318</v>
      </c>
      <c r="AV24" s="313">
        <f t="shared" si="19"/>
        <v>2.2166666666666659</v>
      </c>
      <c r="AW24" s="313">
        <f>IF(D24="V",AW23,(AW23+"07:36"))</f>
        <v>4.4333333333333318</v>
      </c>
      <c r="AX24" s="6" t="str">
        <f t="shared" si="20"/>
        <v>Vr</v>
      </c>
      <c r="AY24" s="4">
        <f>IF((R40="M5.2")*AND(R41&lt;&gt;""),VLOOKUP(R41,Barema!$BP$5:$BQ$34,2),)</f>
        <v>0</v>
      </c>
      <c r="AZ24" s="4" t="s">
        <v>17</v>
      </c>
      <c r="BA24" s="102"/>
    </row>
    <row r="25" spans="1:53" s="376" customFormat="1" x14ac:dyDescent="0.2">
      <c r="A25" s="374"/>
      <c r="B25" s="362" t="s">
        <v>171</v>
      </c>
      <c r="C25" s="363" t="s">
        <v>596</v>
      </c>
      <c r="D25" s="364"/>
      <c r="E25" s="403"/>
      <c r="F25" s="365"/>
      <c r="G25" s="365"/>
      <c r="H25" s="365"/>
      <c r="I25" s="365"/>
      <c r="J25" s="375"/>
      <c r="K25" s="375"/>
      <c r="L25" s="366">
        <f>(G25-F25)+(I25-H25)+(K25-J25)</f>
        <v>0</v>
      </c>
      <c r="M25" s="366">
        <f t="shared" si="29"/>
        <v>0.6333333333333333</v>
      </c>
      <c r="N25" s="382">
        <f>IF(Nov!$H$47="x",AU25+Nov!$N$36,AU25)</f>
        <v>11.083333333333329</v>
      </c>
      <c r="O25" s="377" t="str">
        <f t="shared" si="21"/>
        <v>-</v>
      </c>
      <c r="P25" s="383">
        <f t="shared" si="22"/>
        <v>10.449999999999996</v>
      </c>
      <c r="Q25" s="364">
        <f t="shared" si="0"/>
        <v>0</v>
      </c>
      <c r="R25" s="364">
        <f t="shared" si="1"/>
        <v>0</v>
      </c>
      <c r="S25" s="364">
        <f t="shared" si="2"/>
        <v>0</v>
      </c>
      <c r="T25" s="364">
        <f t="shared" si="3"/>
        <v>0</v>
      </c>
      <c r="U25" s="366">
        <f>L25</f>
        <v>0</v>
      </c>
      <c r="V25" s="366">
        <f t="shared" si="23"/>
        <v>0</v>
      </c>
      <c r="W25" s="366">
        <f t="shared" si="24"/>
        <v>0</v>
      </c>
      <c r="X25" s="364"/>
      <c r="Y25" s="365"/>
      <c r="Z25" s="365"/>
      <c r="AA25" s="368">
        <f t="shared" si="4"/>
        <v>0</v>
      </c>
      <c r="AB25" s="368">
        <f t="shared" si="5"/>
        <v>0</v>
      </c>
      <c r="AC25" s="368">
        <f t="shared" si="25"/>
        <v>0</v>
      </c>
      <c r="AD25" s="368">
        <f t="shared" si="6"/>
        <v>0</v>
      </c>
      <c r="AE25" s="369">
        <f t="shared" si="26"/>
        <v>0</v>
      </c>
      <c r="AF25" s="368">
        <f t="shared" si="27"/>
        <v>0</v>
      </c>
      <c r="AG25" s="369">
        <f t="shared" si="28"/>
        <v>0</v>
      </c>
      <c r="AH25" s="368">
        <f t="shared" si="7"/>
        <v>0</v>
      </c>
      <c r="AI25" s="370">
        <f>IF((D25&lt;&gt;""),VLOOKUP(D25,Data!$E$36:$H$53,4),)</f>
        <v>0</v>
      </c>
      <c r="AJ25" s="370">
        <f t="shared" si="8"/>
        <v>0</v>
      </c>
      <c r="AK25" s="371">
        <f t="shared" si="9"/>
        <v>0</v>
      </c>
      <c r="AL25" s="371">
        <f t="shared" si="10"/>
        <v>0</v>
      </c>
      <c r="AM25" s="372">
        <f t="shared" si="11"/>
        <v>0</v>
      </c>
      <c r="AN25" s="370">
        <f t="shared" si="12"/>
        <v>0</v>
      </c>
      <c r="AO25" s="373">
        <f t="shared" si="13"/>
        <v>0</v>
      </c>
      <c r="AP25" s="373">
        <f t="shared" si="14"/>
        <v>0</v>
      </c>
      <c r="AQ25" s="373">
        <f t="shared" si="15"/>
        <v>0</v>
      </c>
      <c r="AR25" s="373">
        <f t="shared" si="16"/>
        <v>0</v>
      </c>
      <c r="AS25" s="371">
        <f t="shared" si="17"/>
        <v>0</v>
      </c>
      <c r="AT25" s="371">
        <f t="shared" si="18"/>
        <v>0</v>
      </c>
      <c r="AU25" s="366">
        <f>IF(Data!$H$8="x",AV25,AW25)</f>
        <v>4.4333333333333318</v>
      </c>
      <c r="AV25" s="366">
        <f t="shared" si="19"/>
        <v>2.2166666666666659</v>
      </c>
      <c r="AW25" s="366">
        <f>AW24</f>
        <v>4.4333333333333318</v>
      </c>
      <c r="AX25" s="362" t="str">
        <f t="shared" si="20"/>
        <v>Za</v>
      </c>
      <c r="AY25" s="371">
        <f>IF((R40="M6")*AND(R41&lt;&gt;""),VLOOKUP(R41,Barema!$BS$5:$BT$34,2),)</f>
        <v>0</v>
      </c>
      <c r="AZ25" s="371" t="s">
        <v>18</v>
      </c>
      <c r="BA25" s="439"/>
    </row>
    <row r="26" spans="1:53" s="376" customFormat="1" x14ac:dyDescent="0.2">
      <c r="A26" s="374"/>
      <c r="B26" s="362" t="s">
        <v>173</v>
      </c>
      <c r="C26" s="363" t="s">
        <v>597</v>
      </c>
      <c r="D26" s="364"/>
      <c r="E26" s="403"/>
      <c r="F26" s="365"/>
      <c r="G26" s="365"/>
      <c r="H26" s="365"/>
      <c r="I26" s="365"/>
      <c r="J26" s="375"/>
      <c r="K26" s="375"/>
      <c r="L26" s="366">
        <f>(G26-F26)+(I26-H26)+(K26-J26)</f>
        <v>0</v>
      </c>
      <c r="M26" s="366">
        <f t="shared" si="29"/>
        <v>0.6333333333333333</v>
      </c>
      <c r="N26" s="382">
        <f>IF(Nov!$H$47="x",AU26+Nov!$N$36,AU26)</f>
        <v>11.083333333333329</v>
      </c>
      <c r="O26" s="377" t="str">
        <f t="shared" si="21"/>
        <v>-</v>
      </c>
      <c r="P26" s="383">
        <f t="shared" si="22"/>
        <v>10.449999999999996</v>
      </c>
      <c r="Q26" s="364">
        <f t="shared" si="0"/>
        <v>0</v>
      </c>
      <c r="R26" s="364">
        <f t="shared" si="1"/>
        <v>0</v>
      </c>
      <c r="S26" s="364">
        <f t="shared" si="2"/>
        <v>0</v>
      </c>
      <c r="T26" s="364">
        <f t="shared" si="3"/>
        <v>0</v>
      </c>
      <c r="U26" s="366">
        <f>L26</f>
        <v>0</v>
      </c>
      <c r="V26" s="366">
        <f t="shared" si="23"/>
        <v>0</v>
      </c>
      <c r="W26" s="366">
        <f t="shared" si="24"/>
        <v>0</v>
      </c>
      <c r="X26" s="364"/>
      <c r="Y26" s="365"/>
      <c r="Z26" s="365"/>
      <c r="AA26" s="368">
        <f t="shared" si="4"/>
        <v>0</v>
      </c>
      <c r="AB26" s="368">
        <f t="shared" si="5"/>
        <v>0</v>
      </c>
      <c r="AC26" s="368">
        <f t="shared" si="25"/>
        <v>0</v>
      </c>
      <c r="AD26" s="368">
        <f t="shared" si="6"/>
        <v>0</v>
      </c>
      <c r="AE26" s="369">
        <f t="shared" si="26"/>
        <v>0</v>
      </c>
      <c r="AF26" s="368">
        <f t="shared" si="27"/>
        <v>0</v>
      </c>
      <c r="AG26" s="369">
        <f t="shared" si="28"/>
        <v>0</v>
      </c>
      <c r="AH26" s="368">
        <f t="shared" si="7"/>
        <v>0</v>
      </c>
      <c r="AI26" s="370">
        <f>IF((D26&lt;&gt;""),VLOOKUP(D26,Data!$E$36:$H$53,4),)</f>
        <v>0</v>
      </c>
      <c r="AJ26" s="370">
        <f t="shared" si="8"/>
        <v>0</v>
      </c>
      <c r="AK26" s="371">
        <f t="shared" si="9"/>
        <v>0</v>
      </c>
      <c r="AL26" s="371">
        <f t="shared" si="10"/>
        <v>0</v>
      </c>
      <c r="AM26" s="372">
        <f t="shared" si="11"/>
        <v>0</v>
      </c>
      <c r="AN26" s="370">
        <f t="shared" si="12"/>
        <v>0</v>
      </c>
      <c r="AO26" s="373">
        <f t="shared" si="13"/>
        <v>0</v>
      </c>
      <c r="AP26" s="373">
        <f t="shared" si="14"/>
        <v>0</v>
      </c>
      <c r="AQ26" s="373">
        <f t="shared" si="15"/>
        <v>0</v>
      </c>
      <c r="AR26" s="373">
        <f t="shared" si="16"/>
        <v>0</v>
      </c>
      <c r="AS26" s="371">
        <f t="shared" si="17"/>
        <v>0</v>
      </c>
      <c r="AT26" s="371">
        <f t="shared" si="18"/>
        <v>0</v>
      </c>
      <c r="AU26" s="366">
        <f>IF(Data!$H$8="x",AV26,AW26)</f>
        <v>4.4333333333333318</v>
      </c>
      <c r="AV26" s="366">
        <f t="shared" si="19"/>
        <v>2.2166666666666659</v>
      </c>
      <c r="AW26" s="366">
        <f>AW25</f>
        <v>4.4333333333333318</v>
      </c>
      <c r="AX26" s="362" t="str">
        <f t="shared" si="20"/>
        <v>Zo</v>
      </c>
      <c r="AY26" s="371">
        <f>IF((R40="M7")*AND(R41&lt;&gt;""),VLOOKUP(R41,Barema!$BV$5:$BW$34,2),)</f>
        <v>0</v>
      </c>
      <c r="AZ26" s="371" t="s">
        <v>19</v>
      </c>
      <c r="BA26" s="439"/>
    </row>
    <row r="27" spans="1:53" s="378" customFormat="1" x14ac:dyDescent="0.2">
      <c r="A27" s="309"/>
      <c r="B27" s="6" t="s">
        <v>175</v>
      </c>
      <c r="C27" s="311" t="s">
        <v>598</v>
      </c>
      <c r="D27" s="312"/>
      <c r="E27" s="414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13">
        <f t="shared" si="29"/>
        <v>0.6333333333333333</v>
      </c>
      <c r="N27" s="338">
        <f>IF(Nov!$H$47="x",AU27+Nov!$N$36,AU27)</f>
        <v>11.399999999999995</v>
      </c>
      <c r="O27" s="337" t="str">
        <f t="shared" si="21"/>
        <v>-</v>
      </c>
      <c r="P27" s="339">
        <f t="shared" si="22"/>
        <v>10.766666666666662</v>
      </c>
      <c r="Q27" s="312">
        <f t="shared" si="0"/>
        <v>0</v>
      </c>
      <c r="R27" s="312">
        <f t="shared" si="1"/>
        <v>0</v>
      </c>
      <c r="S27" s="312">
        <f t="shared" si="2"/>
        <v>0</v>
      </c>
      <c r="T27" s="312">
        <f t="shared" si="3"/>
        <v>0</v>
      </c>
      <c r="U27" s="313">
        <f>IF(D27="F",L27,0)</f>
        <v>0</v>
      </c>
      <c r="V27" s="313">
        <f t="shared" si="23"/>
        <v>0</v>
      </c>
      <c r="W27" s="313">
        <f t="shared" si="24"/>
        <v>0</v>
      </c>
      <c r="X27" s="312"/>
      <c r="Y27" s="310"/>
      <c r="Z27" s="310"/>
      <c r="AA27" s="315">
        <f t="shared" si="4"/>
        <v>0</v>
      </c>
      <c r="AB27" s="315">
        <f t="shared" si="5"/>
        <v>0</v>
      </c>
      <c r="AC27" s="315">
        <f t="shared" si="25"/>
        <v>0</v>
      </c>
      <c r="AD27" s="315">
        <f t="shared" si="6"/>
        <v>0</v>
      </c>
      <c r="AE27" s="316">
        <f t="shared" si="26"/>
        <v>0</v>
      </c>
      <c r="AF27" s="315">
        <f t="shared" si="27"/>
        <v>0</v>
      </c>
      <c r="AG27" s="316">
        <f t="shared" si="28"/>
        <v>0</v>
      </c>
      <c r="AH27" s="315">
        <f t="shared" si="7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11"/>
        <v>0</v>
      </c>
      <c r="AN27" s="123">
        <f t="shared" si="12"/>
        <v>0</v>
      </c>
      <c r="AO27" s="317">
        <f t="shared" si="13"/>
        <v>0</v>
      </c>
      <c r="AP27" s="317">
        <f t="shared" si="14"/>
        <v>0</v>
      </c>
      <c r="AQ27" s="317">
        <f t="shared" si="15"/>
        <v>0</v>
      </c>
      <c r="AR27" s="317">
        <f t="shared" si="16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Ma</v>
      </c>
      <c r="AY27" s="4">
        <f>IF((R40="M7bis")*AND(R41&lt;&gt;""),VLOOKUP(R41,Barema!$BY$5:$BZ$34,2),)</f>
        <v>0</v>
      </c>
      <c r="AZ27" s="4" t="s">
        <v>20</v>
      </c>
      <c r="BA27" s="102"/>
    </row>
    <row r="28" spans="1:53" s="378" customFormat="1" x14ac:dyDescent="0.2">
      <c r="A28" s="309"/>
      <c r="B28" s="6" t="s">
        <v>177</v>
      </c>
      <c r="C28" s="311" t="s">
        <v>599</v>
      </c>
      <c r="D28" s="312"/>
      <c r="E28" s="414"/>
      <c r="F28" s="274"/>
      <c r="G28" s="274"/>
      <c r="H28" s="310"/>
      <c r="I28" s="310"/>
      <c r="J28" s="336"/>
      <c r="K28" s="336"/>
      <c r="L28" s="313">
        <f>(G28-F28)+(I28-H28)+(K28-J28)+AI28+AN28</f>
        <v>0</v>
      </c>
      <c r="M28" s="313">
        <f t="shared" si="29"/>
        <v>0.6333333333333333</v>
      </c>
      <c r="N28" s="338">
        <f>IF(Nov!$H$47="x",AU28+Nov!$N$36,AU28)</f>
        <v>11.716666666666661</v>
      </c>
      <c r="O28" s="337" t="str">
        <f t="shared" si="21"/>
        <v>-</v>
      </c>
      <c r="P28" s="339">
        <f t="shared" si="22"/>
        <v>11.083333333333329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5"/>
        <v>0</v>
      </c>
      <c r="AD28" s="315">
        <f t="shared" si="6"/>
        <v>0</v>
      </c>
      <c r="AE28" s="316">
        <f t="shared" si="26"/>
        <v>0</v>
      </c>
      <c r="AF28" s="315">
        <f t="shared" si="27"/>
        <v>0</v>
      </c>
      <c r="AG28" s="316">
        <f t="shared" si="28"/>
        <v>0</v>
      </c>
      <c r="AH28" s="315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Di</v>
      </c>
      <c r="AY28" s="4">
        <f>IF((R40="O1")*AND(R41&lt;&gt;""),VLOOKUP(R41,Barema!$Q$39:$R$66,2),)</f>
        <v>0</v>
      </c>
      <c r="AZ28" s="4" t="s">
        <v>21</v>
      </c>
      <c r="BA28" s="102"/>
    </row>
    <row r="29" spans="1:53" s="378" customFormat="1" x14ac:dyDescent="0.2">
      <c r="A29" s="309"/>
      <c r="B29" s="6" t="s">
        <v>179</v>
      </c>
      <c r="C29" s="311" t="s">
        <v>600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13">
        <f>M28+L29</f>
        <v>0.6333333333333333</v>
      </c>
      <c r="N29" s="338">
        <f>IF(Nov!$H$47="x",AU29+Nov!$N$36,AU29)</f>
        <v>12.033333333333328</v>
      </c>
      <c r="O29" s="337" t="str">
        <f t="shared" si="21"/>
        <v>-</v>
      </c>
      <c r="P29" s="339">
        <f t="shared" si="22"/>
        <v>11.399999999999995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5"/>
        <v>0</v>
      </c>
      <c r="AD29" s="315">
        <f t="shared" si="6"/>
        <v>0</v>
      </c>
      <c r="AE29" s="316">
        <f t="shared" si="26"/>
        <v>0</v>
      </c>
      <c r="AF29" s="315">
        <f t="shared" si="27"/>
        <v>0</v>
      </c>
      <c r="AG29" s="316">
        <f t="shared" si="28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Wo</v>
      </c>
      <c r="AY29" s="4">
        <f>IF((R40="O2")*AND(R41&lt;&gt;""),VLOOKUP(R41,Barema!$T$39:$U$66,2),)</f>
        <v>0</v>
      </c>
      <c r="AZ29" s="4" t="s">
        <v>22</v>
      </c>
      <c r="BA29" s="102"/>
    </row>
    <row r="30" spans="1:53" s="378" customFormat="1" x14ac:dyDescent="0.2">
      <c r="A30" s="309"/>
      <c r="B30" s="6" t="s">
        <v>167</v>
      </c>
      <c r="C30" s="311" t="s">
        <v>601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13">
        <f>M29+L30</f>
        <v>0.6333333333333333</v>
      </c>
      <c r="N30" s="338">
        <f>IF(Nov!$H$47="x",AU30+Nov!$N$36,AU30)</f>
        <v>12.349999999999994</v>
      </c>
      <c r="O30" s="337" t="str">
        <f t="shared" si="21"/>
        <v>-</v>
      </c>
      <c r="P30" s="339">
        <f t="shared" si="22"/>
        <v>11.716666666666661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5"/>
        <v>0</v>
      </c>
      <c r="AD30" s="315">
        <f t="shared" si="6"/>
        <v>0</v>
      </c>
      <c r="AE30" s="316">
        <f t="shared" si="26"/>
        <v>0</v>
      </c>
      <c r="AF30" s="315">
        <f t="shared" si="27"/>
        <v>0</v>
      </c>
      <c r="AG30" s="316">
        <f t="shared" si="28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5.6999999999999975</v>
      </c>
      <c r="AV30" s="313">
        <f t="shared" si="19"/>
        <v>2.8499999999999988</v>
      </c>
      <c r="AW30" s="313">
        <f>IF(D30="V",AW29,(AW29+"07:36"))</f>
        <v>5.6999999999999975</v>
      </c>
      <c r="AX30" s="6" t="str">
        <f t="shared" si="20"/>
        <v>Do</v>
      </c>
      <c r="AY30" s="4">
        <f>IF((R40="O2ir")*AND(R41&lt;&gt;""),VLOOKUP(R41,Barema!$AR$39:$AS$66,2),)</f>
        <v>0</v>
      </c>
      <c r="AZ30" s="4" t="s">
        <v>30</v>
      </c>
      <c r="BA30" s="102"/>
    </row>
    <row r="31" spans="1:53" s="407" customFormat="1" x14ac:dyDescent="0.2">
      <c r="A31" s="406"/>
      <c r="B31" s="385" t="s">
        <v>169</v>
      </c>
      <c r="C31" s="386" t="s">
        <v>602</v>
      </c>
      <c r="D31" s="387" t="s">
        <v>79</v>
      </c>
      <c r="E31" s="387"/>
      <c r="F31" s="388"/>
      <c r="G31" s="388"/>
      <c r="H31" s="388"/>
      <c r="I31" s="388"/>
      <c r="J31" s="400"/>
      <c r="K31" s="400"/>
      <c r="L31" s="389">
        <f>(G31-F31)+(I31-H31)+(K31-J31)+AI31+AN31</f>
        <v>0.31666666666666665</v>
      </c>
      <c r="M31" s="389">
        <f t="shared" si="29"/>
        <v>0.95</v>
      </c>
      <c r="N31" s="390">
        <f>IF(Nov!$H$47="x",AU31+Nov!$N$36,AU31)</f>
        <v>12.666666666666661</v>
      </c>
      <c r="O31" s="391" t="str">
        <f t="shared" si="21"/>
        <v>-</v>
      </c>
      <c r="P31" s="401">
        <f t="shared" si="22"/>
        <v>11.716666666666661</v>
      </c>
      <c r="Q31" s="387">
        <f t="shared" si="0"/>
        <v>0</v>
      </c>
      <c r="R31" s="387">
        <f t="shared" si="1"/>
        <v>0</v>
      </c>
      <c r="S31" s="387">
        <f t="shared" si="2"/>
        <v>0</v>
      </c>
      <c r="T31" s="387">
        <f t="shared" si="3"/>
        <v>0</v>
      </c>
      <c r="U31" s="389">
        <f>IF(D31="F",L31,0)</f>
        <v>0</v>
      </c>
      <c r="V31" s="389">
        <f t="shared" si="23"/>
        <v>0</v>
      </c>
      <c r="W31" s="389">
        <f t="shared" si="24"/>
        <v>0</v>
      </c>
      <c r="X31" s="387"/>
      <c r="Y31" s="388"/>
      <c r="Z31" s="388"/>
      <c r="AA31" s="393">
        <f t="shared" si="4"/>
        <v>0</v>
      </c>
      <c r="AB31" s="393">
        <f t="shared" si="5"/>
        <v>0</v>
      </c>
      <c r="AC31" s="393">
        <f t="shared" si="25"/>
        <v>0</v>
      </c>
      <c r="AD31" s="393">
        <f t="shared" si="6"/>
        <v>0</v>
      </c>
      <c r="AE31" s="394">
        <f t="shared" si="26"/>
        <v>0</v>
      </c>
      <c r="AF31" s="393">
        <f t="shared" si="27"/>
        <v>0</v>
      </c>
      <c r="AG31" s="394">
        <f t="shared" si="28"/>
        <v>0</v>
      </c>
      <c r="AH31" s="393">
        <f t="shared" si="7"/>
        <v>0</v>
      </c>
      <c r="AI31" s="395">
        <f>IF((D31&lt;&gt;""),VLOOKUP(D31,Data!$E$36:$H$53,4),)</f>
        <v>0.31666666666666665</v>
      </c>
      <c r="AJ31" s="395">
        <f t="shared" si="8"/>
        <v>0</v>
      </c>
      <c r="AK31" s="396" t="str">
        <f t="shared" si="9"/>
        <v>FV</v>
      </c>
      <c r="AL31" s="396">
        <f t="shared" si="10"/>
        <v>0</v>
      </c>
      <c r="AM31" s="397">
        <f t="shared" si="11"/>
        <v>0</v>
      </c>
      <c r="AN31" s="395">
        <f t="shared" si="12"/>
        <v>0</v>
      </c>
      <c r="AO31" s="398">
        <f t="shared" si="13"/>
        <v>0</v>
      </c>
      <c r="AP31" s="398">
        <f t="shared" si="14"/>
        <v>0</v>
      </c>
      <c r="AQ31" s="398">
        <f t="shared" si="15"/>
        <v>0</v>
      </c>
      <c r="AR31" s="398">
        <f t="shared" si="16"/>
        <v>0</v>
      </c>
      <c r="AS31" s="396">
        <f t="shared" si="17"/>
        <v>0</v>
      </c>
      <c r="AT31" s="396">
        <f t="shared" si="18"/>
        <v>0</v>
      </c>
      <c r="AU31" s="389">
        <f>IF(Data!$H$8="x",AV31,AW31)</f>
        <v>6.0166666666666639</v>
      </c>
      <c r="AV31" s="389">
        <f t="shared" si="19"/>
        <v>3.008333333333332</v>
      </c>
      <c r="AW31" s="389">
        <f>IF(D31="V",AW30,(AW30+"07:36"))</f>
        <v>6.0166666666666639</v>
      </c>
      <c r="AX31" s="385" t="str">
        <f t="shared" si="20"/>
        <v>Vr</v>
      </c>
      <c r="AY31" s="396">
        <f>IF((R40="O3")*AND(R41&lt;&gt;""),VLOOKUP(R41,Barema!$W$39:$X$66,2),)</f>
        <v>0</v>
      </c>
      <c r="AZ31" s="396" t="s">
        <v>23</v>
      </c>
      <c r="BA31" s="102"/>
    </row>
    <row r="32" spans="1:53" s="376" customFormat="1" x14ac:dyDescent="0.2">
      <c r="A32" s="374"/>
      <c r="B32" s="362" t="s">
        <v>171</v>
      </c>
      <c r="C32" s="363" t="s">
        <v>603</v>
      </c>
      <c r="D32" s="364"/>
      <c r="E32" s="403"/>
      <c r="F32" s="365"/>
      <c r="G32" s="365"/>
      <c r="H32" s="365"/>
      <c r="I32" s="365"/>
      <c r="J32" s="375"/>
      <c r="K32" s="375"/>
      <c r="L32" s="366">
        <f>(G32-F32)+(I32-H32)+(K32-J32)</f>
        <v>0</v>
      </c>
      <c r="M32" s="366">
        <f t="shared" si="29"/>
        <v>0.95</v>
      </c>
      <c r="N32" s="382">
        <f>IF(Nov!$H$47="x",AU32+Nov!$N$36,AU32)</f>
        <v>12.666666666666661</v>
      </c>
      <c r="O32" s="377" t="str">
        <f t="shared" si="21"/>
        <v>-</v>
      </c>
      <c r="P32" s="383">
        <f t="shared" si="22"/>
        <v>11.716666666666661</v>
      </c>
      <c r="Q32" s="364">
        <f t="shared" si="0"/>
        <v>0</v>
      </c>
      <c r="R32" s="364">
        <f t="shared" si="1"/>
        <v>0</v>
      </c>
      <c r="S32" s="364">
        <f t="shared" si="2"/>
        <v>0</v>
      </c>
      <c r="T32" s="364">
        <f t="shared" si="3"/>
        <v>0</v>
      </c>
      <c r="U32" s="366">
        <f>L32</f>
        <v>0</v>
      </c>
      <c r="V32" s="366">
        <f t="shared" si="23"/>
        <v>0</v>
      </c>
      <c r="W32" s="366">
        <f t="shared" si="24"/>
        <v>0</v>
      </c>
      <c r="X32" s="364"/>
      <c r="Y32" s="365"/>
      <c r="Z32" s="365"/>
      <c r="AA32" s="368">
        <f t="shared" si="4"/>
        <v>0</v>
      </c>
      <c r="AB32" s="368">
        <f t="shared" si="5"/>
        <v>0</v>
      </c>
      <c r="AC32" s="368">
        <f t="shared" si="25"/>
        <v>0</v>
      </c>
      <c r="AD32" s="368">
        <f t="shared" si="6"/>
        <v>0</v>
      </c>
      <c r="AE32" s="369">
        <f t="shared" si="26"/>
        <v>0</v>
      </c>
      <c r="AF32" s="368">
        <f t="shared" si="27"/>
        <v>0</v>
      </c>
      <c r="AG32" s="369">
        <f t="shared" si="28"/>
        <v>0</v>
      </c>
      <c r="AH32" s="368">
        <f t="shared" si="7"/>
        <v>0</v>
      </c>
      <c r="AI32" s="370">
        <f>IF((D32&lt;&gt;""),VLOOKUP(D32,Data!$E$36:$H$53,4),)</f>
        <v>0</v>
      </c>
      <c r="AJ32" s="370">
        <f t="shared" si="8"/>
        <v>0</v>
      </c>
      <c r="AK32" s="371">
        <f t="shared" si="9"/>
        <v>0</v>
      </c>
      <c r="AL32" s="371">
        <f t="shared" si="10"/>
        <v>0</v>
      </c>
      <c r="AM32" s="372">
        <f t="shared" si="11"/>
        <v>0</v>
      </c>
      <c r="AN32" s="370">
        <f t="shared" si="12"/>
        <v>0</v>
      </c>
      <c r="AO32" s="373">
        <f t="shared" si="13"/>
        <v>0</v>
      </c>
      <c r="AP32" s="373">
        <f t="shared" si="14"/>
        <v>0</v>
      </c>
      <c r="AQ32" s="373">
        <f t="shared" si="15"/>
        <v>0</v>
      </c>
      <c r="AR32" s="373">
        <f t="shared" si="16"/>
        <v>0</v>
      </c>
      <c r="AS32" s="371">
        <f t="shared" si="17"/>
        <v>0</v>
      </c>
      <c r="AT32" s="371">
        <f t="shared" si="18"/>
        <v>0</v>
      </c>
      <c r="AU32" s="366">
        <f>IF(Data!$H$8="x",AV32,AW32)</f>
        <v>6.0166666666666639</v>
      </c>
      <c r="AV32" s="366">
        <f t="shared" si="19"/>
        <v>3.008333333333332</v>
      </c>
      <c r="AW32" s="366">
        <f>AW31</f>
        <v>6.0166666666666639</v>
      </c>
      <c r="AX32" s="362" t="str">
        <f t="shared" si="20"/>
        <v>Za</v>
      </c>
      <c r="AY32" s="371">
        <f>IF((R40="O3ir")*AND(R41&lt;&gt;""),VLOOKUP(R41,Barema!$AU$39:$AV$66,2),)</f>
        <v>0</v>
      </c>
      <c r="AZ32" s="371" t="s">
        <v>31</v>
      </c>
      <c r="BA32" s="439"/>
    </row>
    <row r="33" spans="1:61" s="376" customFormat="1" x14ac:dyDescent="0.2">
      <c r="A33" s="374"/>
      <c r="B33" s="362" t="s">
        <v>173</v>
      </c>
      <c r="C33" s="363" t="s">
        <v>604</v>
      </c>
      <c r="D33" s="364"/>
      <c r="E33" s="403"/>
      <c r="F33" s="365"/>
      <c r="G33" s="365"/>
      <c r="H33" s="365"/>
      <c r="I33" s="365"/>
      <c r="J33" s="375"/>
      <c r="K33" s="375"/>
      <c r="L33" s="366">
        <f>(G33-F33)+(I33-H33)+(K33-J33)</f>
        <v>0</v>
      </c>
      <c r="M33" s="366">
        <f t="shared" si="29"/>
        <v>0.95</v>
      </c>
      <c r="N33" s="382">
        <f>IF(Nov!$H$47="x",AU33+Nov!$N$36,AU33)</f>
        <v>12.666666666666661</v>
      </c>
      <c r="O33" s="377" t="str">
        <f t="shared" si="21"/>
        <v>-</v>
      </c>
      <c r="P33" s="383">
        <f t="shared" si="22"/>
        <v>11.716666666666661</v>
      </c>
      <c r="Q33" s="364">
        <f t="shared" si="0"/>
        <v>0</v>
      </c>
      <c r="R33" s="364">
        <f t="shared" si="1"/>
        <v>0</v>
      </c>
      <c r="S33" s="364">
        <f t="shared" si="2"/>
        <v>0</v>
      </c>
      <c r="T33" s="364">
        <f t="shared" si="3"/>
        <v>0</v>
      </c>
      <c r="U33" s="366">
        <f>L33</f>
        <v>0</v>
      </c>
      <c r="V33" s="366">
        <f t="shared" si="23"/>
        <v>0</v>
      </c>
      <c r="W33" s="366">
        <f t="shared" si="24"/>
        <v>0</v>
      </c>
      <c r="X33" s="364"/>
      <c r="Y33" s="365"/>
      <c r="Z33" s="365"/>
      <c r="AA33" s="368">
        <f t="shared" si="4"/>
        <v>0</v>
      </c>
      <c r="AB33" s="368">
        <f t="shared" si="5"/>
        <v>0</v>
      </c>
      <c r="AC33" s="368">
        <f t="shared" si="25"/>
        <v>0</v>
      </c>
      <c r="AD33" s="368">
        <f t="shared" si="6"/>
        <v>0</v>
      </c>
      <c r="AE33" s="369">
        <f t="shared" si="26"/>
        <v>0</v>
      </c>
      <c r="AF33" s="368">
        <f t="shared" si="27"/>
        <v>0</v>
      </c>
      <c r="AG33" s="369">
        <f t="shared" si="28"/>
        <v>0</v>
      </c>
      <c r="AH33" s="368">
        <f t="shared" si="7"/>
        <v>0</v>
      </c>
      <c r="AI33" s="370">
        <f>IF((D33&lt;&gt;""),VLOOKUP(D33,Data!$E$36:$H$53,4),)</f>
        <v>0</v>
      </c>
      <c r="AJ33" s="370">
        <f t="shared" si="8"/>
        <v>0</v>
      </c>
      <c r="AK33" s="371">
        <f t="shared" si="9"/>
        <v>0</v>
      </c>
      <c r="AL33" s="371">
        <f t="shared" si="10"/>
        <v>0</v>
      </c>
      <c r="AM33" s="372">
        <f t="shared" si="11"/>
        <v>0</v>
      </c>
      <c r="AN33" s="370">
        <f t="shared" si="12"/>
        <v>0</v>
      </c>
      <c r="AO33" s="373">
        <f t="shared" si="13"/>
        <v>0</v>
      </c>
      <c r="AP33" s="373">
        <f t="shared" si="14"/>
        <v>0</v>
      </c>
      <c r="AQ33" s="373">
        <f t="shared" si="15"/>
        <v>0</v>
      </c>
      <c r="AR33" s="373">
        <f t="shared" si="16"/>
        <v>0</v>
      </c>
      <c r="AS33" s="371">
        <f t="shared" si="17"/>
        <v>0</v>
      </c>
      <c r="AT33" s="371">
        <f t="shared" si="18"/>
        <v>0</v>
      </c>
      <c r="AU33" s="366">
        <f>IF(Data!$H$8="x",AV33,AW33)</f>
        <v>6.0166666666666639</v>
      </c>
      <c r="AV33" s="366">
        <f t="shared" si="19"/>
        <v>3.008333333333332</v>
      </c>
      <c r="AW33" s="366">
        <f>AW32</f>
        <v>6.0166666666666639</v>
      </c>
      <c r="AX33" s="362" t="str">
        <f t="shared" si="20"/>
        <v>Zo</v>
      </c>
      <c r="AY33" s="371">
        <f>IF((R40="O4")*AND(R41&lt;&gt;""),VLOOKUP(R41,Barema!$Z$39:$AA$66,2),)</f>
        <v>0</v>
      </c>
      <c r="AZ33" s="371" t="s">
        <v>24</v>
      </c>
      <c r="BA33" s="439"/>
    </row>
    <row r="34" spans="1:61" s="378" customFormat="1" x14ac:dyDescent="0.2">
      <c r="A34" s="309"/>
      <c r="B34" s="6" t="s">
        <v>175</v>
      </c>
      <c r="C34" s="311" t="s">
        <v>605</v>
      </c>
      <c r="D34" s="312"/>
      <c r="E34" s="414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13">
        <f t="shared" si="29"/>
        <v>0.95</v>
      </c>
      <c r="N34" s="338">
        <f>IF(Nov!$H$47="x",AU34+Nov!$N$36,AU34)</f>
        <v>12.983333333333327</v>
      </c>
      <c r="O34" s="337" t="str">
        <f t="shared" si="21"/>
        <v>-</v>
      </c>
      <c r="P34" s="339">
        <f t="shared" si="22"/>
        <v>12.033333333333328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13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5"/>
        <v>0</v>
      </c>
      <c r="AD34" s="315">
        <f t="shared" si="6"/>
        <v>0</v>
      </c>
      <c r="AE34" s="316">
        <f t="shared" si="26"/>
        <v>0</v>
      </c>
      <c r="AF34" s="315">
        <f t="shared" si="27"/>
        <v>0</v>
      </c>
      <c r="AG34" s="316">
        <f t="shared" si="28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Ma</v>
      </c>
      <c r="AY34" s="4">
        <f>IF((R40="O4bis")*AND(R41&lt;&gt;""),VLOOKUP(R41,Barema!$BG$39:$BH$66,2),)</f>
        <v>0</v>
      </c>
      <c r="AZ34" s="4" t="s">
        <v>35</v>
      </c>
      <c r="BA34" s="102"/>
    </row>
    <row r="35" spans="1:61" s="378" customFormat="1" x14ac:dyDescent="0.2">
      <c r="A35" s="309"/>
      <c r="B35" s="6" t="s">
        <v>177</v>
      </c>
      <c r="C35" s="311" t="s">
        <v>606</v>
      </c>
      <c r="D35" s="312"/>
      <c r="E35" s="414"/>
      <c r="F35" s="274"/>
      <c r="G35" s="274"/>
      <c r="H35" s="310"/>
      <c r="I35" s="310"/>
      <c r="J35" s="336"/>
      <c r="K35" s="336"/>
      <c r="L35" s="313">
        <f>(G35-F35)+(I35-H35)+(K35-J35)+AI35+AN35</f>
        <v>0</v>
      </c>
      <c r="M35" s="313">
        <f t="shared" si="29"/>
        <v>0.95</v>
      </c>
      <c r="N35" s="338">
        <f>IF(Nov!$H$47="x",AU35+Nov!$N$36,AU35)</f>
        <v>13.299999999999994</v>
      </c>
      <c r="O35" s="337" t="str">
        <f t="shared" si="21"/>
        <v>-</v>
      </c>
      <c r="P35" s="339">
        <f t="shared" si="22"/>
        <v>12.349999999999994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13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5"/>
        <v>0</v>
      </c>
      <c r="AD35" s="315">
        <f t="shared" si="6"/>
        <v>0</v>
      </c>
      <c r="AE35" s="316">
        <f t="shared" si="26"/>
        <v>0</v>
      </c>
      <c r="AF35" s="315">
        <f t="shared" si="27"/>
        <v>0</v>
      </c>
      <c r="AG35" s="316">
        <f t="shared" si="28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Di</v>
      </c>
      <c r="AY35" s="4">
        <f>IF((R40="O4bis-ir")*AND(R41&lt;&gt;""),VLOOKUP(R41,Barema!$AO$39:$AP$66,2),)</f>
        <v>0</v>
      </c>
      <c r="AZ35" s="4" t="s">
        <v>29</v>
      </c>
      <c r="BA35" s="102"/>
    </row>
    <row r="36" spans="1:61" x14ac:dyDescent="0.2">
      <c r="B36" s="6" t="s">
        <v>179</v>
      </c>
      <c r="C36" s="311" t="s">
        <v>607</v>
      </c>
      <c r="D36" s="312"/>
      <c r="E36" s="312"/>
      <c r="F36" s="274"/>
      <c r="G36" s="274"/>
      <c r="H36" s="310"/>
      <c r="I36" s="310"/>
      <c r="J36" s="336"/>
      <c r="K36" s="336"/>
      <c r="L36" s="313">
        <f>(G36-F36)+(I36-H36)+(K36-J36)+AI36+AN36</f>
        <v>0</v>
      </c>
      <c r="M36" s="313">
        <f>M35+L36</f>
        <v>0.95</v>
      </c>
      <c r="N36" s="338">
        <f>IF(Nov!$H$47="x",AU36+Nov!$N$36,AU36)</f>
        <v>13.61666666666666</v>
      </c>
      <c r="O36" s="337" t="str">
        <f t="shared" si="21"/>
        <v>-</v>
      </c>
      <c r="P36" s="339">
        <f t="shared" si="22"/>
        <v>12.666666666666661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13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5"/>
        <v>0</v>
      </c>
      <c r="AD36" s="315">
        <f t="shared" si="6"/>
        <v>0</v>
      </c>
      <c r="AE36" s="316">
        <f t="shared" si="26"/>
        <v>0</v>
      </c>
      <c r="AF36" s="315">
        <f t="shared" si="27"/>
        <v>0</v>
      </c>
      <c r="AG36" s="316">
        <f t="shared" si="28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Wo</v>
      </c>
      <c r="AY36" s="4">
        <f>IF((R40="O4ir")*AND(R41&lt;&gt;""),VLOOKUP(R41,Barema!$AX$39:$AY$66,2),)</f>
        <v>0</v>
      </c>
      <c r="AZ36" s="4" t="s">
        <v>32</v>
      </c>
      <c r="BA36" s="102"/>
      <c r="BI36" t="s">
        <v>14</v>
      </c>
    </row>
    <row r="37" spans="1:61" x14ac:dyDescent="0.2">
      <c r="B37" s="6" t="s">
        <v>167</v>
      </c>
      <c r="C37" s="311" t="s">
        <v>608</v>
      </c>
      <c r="D37" s="312"/>
      <c r="E37" s="312"/>
      <c r="F37" s="274"/>
      <c r="G37" s="274"/>
      <c r="H37" s="310"/>
      <c r="I37" s="310"/>
      <c r="J37" s="336"/>
      <c r="K37" s="336"/>
      <c r="L37" s="313">
        <f>(G37-F37)+(I37-H37)+(K37-J37)+AI37+AN37</f>
        <v>0</v>
      </c>
      <c r="M37" s="313">
        <f>M36+L37</f>
        <v>0.95</v>
      </c>
      <c r="N37" s="338">
        <f>IF(Nov!$H$47="x",AU37+Nov!$N$36,AU37)</f>
        <v>13.933333333333326</v>
      </c>
      <c r="O37" s="337" t="str">
        <f t="shared" si="21"/>
        <v>-</v>
      </c>
      <c r="P37" s="339">
        <f t="shared" si="22"/>
        <v>12.983333333333327</v>
      </c>
      <c r="Q37" s="312">
        <f t="shared" si="0"/>
        <v>0</v>
      </c>
      <c r="R37" s="312">
        <f t="shared" si="1"/>
        <v>0</v>
      </c>
      <c r="S37" s="312">
        <f t="shared" si="2"/>
        <v>0</v>
      </c>
      <c r="T37" s="312">
        <f t="shared" si="3"/>
        <v>0</v>
      </c>
      <c r="U37" s="313">
        <f>IF(D37="F",L37,0)</f>
        <v>0</v>
      </c>
      <c r="V37" s="313">
        <f t="shared" si="23"/>
        <v>0</v>
      </c>
      <c r="W37" s="313">
        <f t="shared" si="24"/>
        <v>0</v>
      </c>
      <c r="X37" s="312"/>
      <c r="Y37" s="310"/>
      <c r="Z37" s="310"/>
      <c r="AA37" s="315">
        <f t="shared" si="4"/>
        <v>0</v>
      </c>
      <c r="AB37" s="315">
        <f t="shared" si="5"/>
        <v>0</v>
      </c>
      <c r="AC37" s="315">
        <f t="shared" si="25"/>
        <v>0</v>
      </c>
      <c r="AD37" s="315">
        <f t="shared" si="6"/>
        <v>0</v>
      </c>
      <c r="AE37" s="316">
        <f t="shared" si="26"/>
        <v>0</v>
      </c>
      <c r="AF37" s="315">
        <f t="shared" si="27"/>
        <v>0</v>
      </c>
      <c r="AG37" s="316">
        <f t="shared" si="28"/>
        <v>0</v>
      </c>
      <c r="AH37" s="315">
        <f t="shared" si="7"/>
        <v>0</v>
      </c>
      <c r="AI37" s="123">
        <f>IF((D37&lt;&gt;""),VLOOKUP(D37,Data!$E$36:$H$53,4),)</f>
        <v>0</v>
      </c>
      <c r="AJ37" s="123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11"/>
        <v>0</v>
      </c>
      <c r="AN37" s="123">
        <f t="shared" si="12"/>
        <v>0</v>
      </c>
      <c r="AO37" s="317">
        <f t="shared" si="13"/>
        <v>0</v>
      </c>
      <c r="AP37" s="317">
        <f t="shared" si="14"/>
        <v>0</v>
      </c>
      <c r="AQ37" s="317">
        <f t="shared" si="15"/>
        <v>0</v>
      </c>
      <c r="AR37" s="317">
        <f t="shared" si="16"/>
        <v>0</v>
      </c>
      <c r="AS37" s="4">
        <f t="shared" si="17"/>
        <v>0</v>
      </c>
      <c r="AT37" s="4">
        <f t="shared" si="18"/>
        <v>0</v>
      </c>
      <c r="AU37" s="313">
        <f>IF(Data!$H$8="x",AV37,AW37)</f>
        <v>7.2833333333333297</v>
      </c>
      <c r="AV37" s="313">
        <f t="shared" si="19"/>
        <v>3.6416666666666648</v>
      </c>
      <c r="AW37" s="313">
        <f>IF(D37="V",AW36,(AW36+"07:36"))</f>
        <v>7.2833333333333297</v>
      </c>
      <c r="AX37" s="6" t="str">
        <f t="shared" si="20"/>
        <v>Do</v>
      </c>
      <c r="AY37" s="4">
        <f>IF((R40="O5")*AND(R41&lt;&gt;""),VLOOKUP(R41,Barema!$AC$39:$AD$66,2),)</f>
        <v>0</v>
      </c>
      <c r="AZ37" s="4" t="s">
        <v>25</v>
      </c>
      <c r="BA37" s="102"/>
    </row>
    <row r="38" spans="1:61" x14ac:dyDescent="0.2">
      <c r="AB38" s="123">
        <f t="shared" ref="AB38:AI38" si="30">SUM(AA7:AA37)</f>
        <v>0</v>
      </c>
      <c r="AC38" s="123">
        <f t="shared" si="30"/>
        <v>0</v>
      </c>
      <c r="AD38" s="123">
        <f t="shared" si="30"/>
        <v>0</v>
      </c>
      <c r="AE38" s="123">
        <f t="shared" si="30"/>
        <v>0</v>
      </c>
      <c r="AF38" s="123">
        <f t="shared" si="30"/>
        <v>0</v>
      </c>
      <c r="AG38" s="123">
        <f t="shared" si="30"/>
        <v>0</v>
      </c>
      <c r="AH38" s="123">
        <f t="shared" si="30"/>
        <v>0</v>
      </c>
      <c r="AI38" s="123">
        <f t="shared" si="30"/>
        <v>0</v>
      </c>
      <c r="AK38" s="123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IF((R40="O5ir")*AND(R41&lt;&gt;""),VLOOKUP(R41,Barema!$BA$39:$BB$66,2),)</f>
        <v>0</v>
      </c>
      <c r="AZ38" s="4" t="s">
        <v>33</v>
      </c>
      <c r="BB38" s="4"/>
    </row>
    <row r="39" spans="1:61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31">IF((MINUTE(AB38)&gt;=30),(AB38+0.041666667),AB38)</f>
        <v>0</v>
      </c>
      <c r="AC39" s="123">
        <f t="shared" si="31"/>
        <v>0</v>
      </c>
      <c r="AD39" s="123">
        <f t="shared" si="31"/>
        <v>0</v>
      </c>
      <c r="AE39" s="123">
        <f t="shared" si="31"/>
        <v>0</v>
      </c>
      <c r="AF39" s="123">
        <f t="shared" si="31"/>
        <v>0</v>
      </c>
      <c r="AG39" s="123">
        <f t="shared" si="31"/>
        <v>0</v>
      </c>
      <c r="AH39" s="123">
        <f t="shared" si="31"/>
        <v>0</v>
      </c>
      <c r="AI39" s="123">
        <f t="shared" si="31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IF((R40="O6")*AND(R41&lt;&gt;""),VLOOKUP(R41,Barema!$AF$39:$AG$66,2),)</f>
        <v>0</v>
      </c>
      <c r="AZ39" s="4" t="s">
        <v>26</v>
      </c>
      <c r="BB39" s="4"/>
    </row>
    <row r="40" spans="1:61" x14ac:dyDescent="0.2">
      <c r="C40" s="42" t="s">
        <v>207</v>
      </c>
      <c r="D40" s="43"/>
      <c r="E40" s="43"/>
      <c r="F40" s="43"/>
      <c r="G40" s="44"/>
      <c r="H40" s="28">
        <f>Nov!$H$44</f>
        <v>36</v>
      </c>
      <c r="J40" s="9" t="s">
        <v>609</v>
      </c>
      <c r="K40" s="10"/>
      <c r="L40" s="11"/>
      <c r="M40" s="10"/>
      <c r="N40" s="10"/>
      <c r="O40" s="10"/>
      <c r="P40" s="11"/>
      <c r="Q40" s="11"/>
      <c r="R40" s="441" t="s">
        <v>16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2">IF(MINUTE(AB39)&gt;0,FLOOR(AB39,0.041666667),AB39)</f>
        <v>0</v>
      </c>
      <c r="AC40" s="123">
        <f t="shared" si="32"/>
        <v>0</v>
      </c>
      <c r="AD40" s="123">
        <f t="shared" si="32"/>
        <v>0</v>
      </c>
      <c r="AE40" s="123">
        <f t="shared" si="32"/>
        <v>0</v>
      </c>
      <c r="AF40" s="123">
        <f t="shared" si="32"/>
        <v>0</v>
      </c>
      <c r="AG40" s="123">
        <f t="shared" si="32"/>
        <v>0</v>
      </c>
      <c r="AH40" s="123">
        <f t="shared" si="32"/>
        <v>0</v>
      </c>
      <c r="AI40" s="123">
        <f t="shared" si="32"/>
        <v>0</v>
      </c>
      <c r="AK40" s="140">
        <f>IF(MINUTE(AK39)&gt;0,FLOOR(AK39,0.041666667),AK39)</f>
        <v>0</v>
      </c>
      <c r="AL40" s="4"/>
      <c r="AM40" s="4"/>
      <c r="AP40" s="4"/>
      <c r="AQ40" s="4"/>
      <c r="AR40" s="4"/>
      <c r="AS40" s="4"/>
      <c r="AT40" s="4"/>
      <c r="AU40" s="4"/>
      <c r="AY40" s="4">
        <f>IF((R40="O6ir")*AND(R41&lt;&gt;""),VLOOKUP(R41,Barema!$BD$39:$BE$66,2),)</f>
        <v>0</v>
      </c>
      <c r="AZ40" s="4" t="s">
        <v>34</v>
      </c>
      <c r="BB40" s="4"/>
    </row>
    <row r="41" spans="1:61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667</v>
      </c>
      <c r="K41" s="13"/>
      <c r="L41" s="14"/>
      <c r="M41" s="13"/>
      <c r="N41" s="13"/>
      <c r="O41" s="13"/>
      <c r="P41" s="14"/>
      <c r="Q41" s="14"/>
      <c r="R41" s="443">
        <v>22</v>
      </c>
      <c r="S41" s="444"/>
      <c r="T41" s="328">
        <f>AY55</f>
        <v>33228</v>
      </c>
      <c r="U41" s="330"/>
      <c r="V41" s="331"/>
      <c r="W41" s="318"/>
      <c r="X41" s="318"/>
      <c r="Z41" s="1"/>
      <c r="AA41" s="1"/>
      <c r="AB41" s="4">
        <f>COUNTIF(AK7:AK37,"1")</f>
        <v>0</v>
      </c>
      <c r="AC41" s="4">
        <v>0.625</v>
      </c>
      <c r="AD41" s="8" t="s">
        <v>347</v>
      </c>
      <c r="AO41" s="4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2"/>
    </row>
    <row r="42" spans="1:61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1"/>
      <c r="R42" s="1"/>
      <c r="S42" s="15"/>
      <c r="T42" s="54"/>
      <c r="U42" s="325">
        <f>(M42*AK44/0.041666667)</f>
        <v>0</v>
      </c>
      <c r="V42" s="19" t="s">
        <v>215</v>
      </c>
      <c r="W42" s="106"/>
      <c r="X42" s="1"/>
      <c r="Y42" s="134" t="s">
        <v>216</v>
      </c>
      <c r="Z42" s="135"/>
      <c r="AB42" s="4">
        <f>COUNTIF(AK7:AK37,"2")</f>
        <v>0</v>
      </c>
      <c r="AG42" s="88"/>
      <c r="AH42" s="10" t="s">
        <v>217</v>
      </c>
      <c r="AI42" s="10"/>
      <c r="AJ42" s="89"/>
      <c r="AK42" s="10" t="s">
        <v>219</v>
      </c>
      <c r="AL42" s="10"/>
      <c r="AM42" s="18"/>
      <c r="AN42" s="89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61" x14ac:dyDescent="0.2">
      <c r="C43" s="42" t="s">
        <v>220</v>
      </c>
      <c r="D43" s="43"/>
      <c r="E43" s="43"/>
      <c r="F43" s="43"/>
      <c r="G43" s="144" t="s">
        <v>221</v>
      </c>
      <c r="H43" s="28">
        <f>AB41+(AB42/2)+(AB43/2)</f>
        <v>0</v>
      </c>
      <c r="J43" s="15" t="s">
        <v>224</v>
      </c>
      <c r="K43" s="4"/>
      <c r="L43" s="4"/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COUNTIF(AK7:AK37,"7")</f>
        <v>0</v>
      </c>
      <c r="AC43" s="4"/>
      <c r="AG43" s="15"/>
      <c r="AH43" s="4">
        <f>X41*1.2434/1850</f>
        <v>0</v>
      </c>
      <c r="AI43" s="4"/>
      <c r="AJ43" s="33"/>
      <c r="AK43" s="4">
        <f>T41*AA40/1850</f>
        <v>38.118802378378383</v>
      </c>
      <c r="AL43" s="4" t="s">
        <v>218</v>
      </c>
      <c r="AN43" s="33"/>
      <c r="AP43" s="4"/>
      <c r="AQ43" s="4"/>
      <c r="AR43" s="4"/>
      <c r="AS43" s="4"/>
      <c r="AT43" s="4"/>
      <c r="AU43" s="4"/>
      <c r="AY43" s="17">
        <f>IF((R40="HAU4")*AND(R41&lt;&gt;""),VLOOKUP(R41,Barema!$BJ$39:$BK$66,2),)</f>
        <v>0</v>
      </c>
      <c r="AZ43" s="17" t="s">
        <v>705</v>
      </c>
      <c r="BB43" s="2"/>
    </row>
    <row r="44" spans="1:61" x14ac:dyDescent="0.2">
      <c r="C44" s="45"/>
      <c r="D44" s="46"/>
      <c r="E44" s="46"/>
      <c r="F44" s="46"/>
      <c r="G44" s="47"/>
      <c r="H44" s="51"/>
      <c r="J44" s="15" t="s">
        <v>228</v>
      </c>
      <c r="K44" s="4"/>
      <c r="L44" s="4"/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AK49</f>
        <v>53.5</v>
      </c>
      <c r="Z44" s="138"/>
      <c r="AB44" s="4" t="s">
        <v>348</v>
      </c>
      <c r="AC44" s="4"/>
      <c r="AF44" s="4" t="e">
        <f>M45*78</f>
        <v>#VALUE!</v>
      </c>
      <c r="AG44" s="198" t="s">
        <v>122</v>
      </c>
      <c r="AH44" s="4">
        <f>AH43*0.9645*AK50/100*1.45</f>
        <v>0</v>
      </c>
      <c r="AI44" s="4"/>
      <c r="AJ44" s="33"/>
      <c r="AK44" s="131">
        <f>(AK43*0.9645)*AK50/100</f>
        <v>17.095996975684866</v>
      </c>
      <c r="AL44" s="17" t="s">
        <v>223</v>
      </c>
      <c r="AM44" s="39"/>
      <c r="AN44" s="40"/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61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IF(Jan!AH49=2,(M45*AK46*AA40+(R45*AA40*6.2)),"")</f>
        <v/>
      </c>
      <c r="V45" s="19" t="str">
        <f>IF(Jan!AH49=2,"€","")</f>
        <v/>
      </c>
      <c r="W45" s="106"/>
      <c r="X45" s="1"/>
      <c r="AB45" s="4">
        <f>IF((M37-N37-U4)&gt;0,(M37-N37-U4-G55),)</f>
        <v>0</v>
      </c>
      <c r="AC45" s="4">
        <f>IF((MINUTE(AB45)&gt;=30),(0.041666667),)</f>
        <v>0</v>
      </c>
      <c r="AD45" s="4">
        <f>AB45+AC45</f>
        <v>0</v>
      </c>
      <c r="AE45" s="4">
        <f>AD45</f>
        <v>0</v>
      </c>
      <c r="AF45" s="4" t="e">
        <f>M46*23</f>
        <v>#VALUE!</v>
      </c>
      <c r="AG45" s="16" t="s">
        <v>225</v>
      </c>
      <c r="AH45" s="17">
        <f>(W41*1.2434/1850)*0.009645*AK50</f>
        <v>0</v>
      </c>
      <c r="AI45" s="17"/>
      <c r="AJ45" s="40"/>
      <c r="AK45" s="4">
        <v>1.24</v>
      </c>
      <c r="AL45" s="4" t="s">
        <v>226</v>
      </c>
      <c r="AY45" s="17">
        <f>IF((R40="BAGP2")*AND(R41&lt;&gt;""),VLOOKUP(R41,Barema!$T$5:$U$31,2),)</f>
        <v>0</v>
      </c>
      <c r="AZ45" s="4" t="s">
        <v>711</v>
      </c>
      <c r="BB45" s="2"/>
    </row>
    <row r="46" spans="1:61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"/>
      <c r="S46" s="15"/>
      <c r="T46" s="54"/>
      <c r="U46" s="325" t="str">
        <f>IF(Jan!AH49=2,(M46*AK47*AA40+(R46*AA40*6.2)),"")</f>
        <v/>
      </c>
      <c r="V46" s="19" t="str">
        <f>IF(Jan!AH49=2,"€","")</f>
        <v/>
      </c>
      <c r="W46" s="106"/>
      <c r="X46" s="1"/>
      <c r="AB46" s="4"/>
      <c r="AC46" s="4"/>
      <c r="AD46" s="4"/>
      <c r="AE46" s="4">
        <f>HOUR(AE45)</f>
        <v>0</v>
      </c>
      <c r="AG46" s="4"/>
      <c r="AH46" s="4"/>
      <c r="AI46" s="4"/>
      <c r="AK46" s="4">
        <v>2.48</v>
      </c>
      <c r="AL46" s="4" t="s">
        <v>161</v>
      </c>
      <c r="AY46" s="17">
        <f>IF((R40="BAGP3")*AND(R41&lt;&gt;""),VLOOKUP(R41,Barema!$W$5:$X$31,2),)</f>
        <v>0</v>
      </c>
      <c r="AZ46" s="4" t="s">
        <v>712</v>
      </c>
      <c r="BB46" s="2"/>
    </row>
    <row r="47" spans="1:61" x14ac:dyDescent="0.2">
      <c r="C47" s="166" t="s">
        <v>230</v>
      </c>
      <c r="D47" s="1"/>
      <c r="E47" s="1"/>
      <c r="F47" s="4"/>
      <c r="G47" s="74" t="s">
        <v>231</v>
      </c>
      <c r="H47" s="74" t="s">
        <v>232</v>
      </c>
      <c r="J47" s="15" t="str">
        <f>IF(Jan!AH49=2,"Nachtmaal","")</f>
        <v/>
      </c>
      <c r="K47" s="4"/>
      <c r="L47" s="4"/>
      <c r="M47" s="65" t="str">
        <f>IF(Jan!AH49=2,COUNTIF(S7:S37,"1"),"")</f>
        <v/>
      </c>
      <c r="N47" s="4"/>
      <c r="O47" s="4"/>
      <c r="P47" s="4"/>
      <c r="Q47" s="4"/>
      <c r="R47" s="1"/>
      <c r="S47" s="15"/>
      <c r="T47" s="80"/>
      <c r="U47" s="325" t="str">
        <f>IF(Jan!AH49=2,(M47*AK48*AA40+(R47*AA40*3.48)),"")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HOUR(AD45)*0.041666667</f>
        <v>0</v>
      </c>
      <c r="AD47" s="4"/>
      <c r="AG47" s="4"/>
      <c r="AH47" s="4"/>
      <c r="AI47" s="4"/>
      <c r="AK47" s="4">
        <v>2.48</v>
      </c>
      <c r="AL47" s="4" t="s">
        <v>162</v>
      </c>
      <c r="AY47" s="17">
        <f>IF((R40="BAGP4")*AND(R41&lt;&gt;""),VLOOKUP(R41,Barema!$BJ$39:$BK$66,2),)</f>
        <v>0</v>
      </c>
      <c r="AZ47" s="4" t="s">
        <v>713</v>
      </c>
      <c r="BB47" s="2"/>
    </row>
    <row r="48" spans="1:61" x14ac:dyDescent="0.2">
      <c r="C48" s="24" t="s">
        <v>234</v>
      </c>
      <c r="D48" s="1"/>
      <c r="E48" s="1"/>
      <c r="G48" s="92" t="s">
        <v>109</v>
      </c>
      <c r="H48" s="92"/>
      <c r="J48" s="15" t="str">
        <f>IF(Jan!AH49=2,"Morgenmaal","")</f>
        <v/>
      </c>
      <c r="K48" s="4"/>
      <c r="L48" s="4"/>
      <c r="M48" s="65" t="str">
        <f>IF(Jan!AH49=2,COUNTIF(T7:T37,"1"),"")</f>
        <v/>
      </c>
      <c r="N48" s="4"/>
      <c r="O48" s="4"/>
      <c r="P48" s="4"/>
      <c r="Q48" s="4"/>
      <c r="R48" s="1"/>
      <c r="S48" s="15"/>
      <c r="T48" s="80"/>
      <c r="U48" s="325" t="str">
        <f>IF(Jan!AH49=2,(M48*AK45*AA40+(R48*AA40*2.48)),"")</f>
        <v/>
      </c>
      <c r="V48" s="19" t="str">
        <f>IF(Jan!AH49=2,"€","")</f>
        <v/>
      </c>
      <c r="W48" s="106"/>
      <c r="X48" s="1"/>
      <c r="Y48" s="1"/>
      <c r="Z48" s="1"/>
      <c r="AA48" s="1"/>
      <c r="AB48" s="4"/>
      <c r="AG48" s="4"/>
      <c r="AH48" s="4"/>
      <c r="AI48" s="4"/>
      <c r="AK48" s="4">
        <v>1.74</v>
      </c>
      <c r="AL48" s="4" t="s">
        <v>233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4"/>
      <c r="L49" s="4"/>
      <c r="M49" s="141">
        <f>IF(AND(O37="+",G48="x",AB45&gt;=0),AB49,0)</f>
        <v>0</v>
      </c>
      <c r="N49" s="4" t="s">
        <v>214</v>
      </c>
      <c r="O49" s="54"/>
      <c r="P49" s="1"/>
      <c r="Q49" s="1"/>
      <c r="R49" s="1"/>
      <c r="S49" s="15"/>
      <c r="T49" s="54"/>
      <c r="U49" s="325">
        <f>(M49*AK44/0.041666667)</f>
        <v>0</v>
      </c>
      <c r="V49" s="19" t="s">
        <v>215</v>
      </c>
      <c r="W49" s="106"/>
      <c r="X49" s="1"/>
      <c r="Y49" s="1"/>
      <c r="Z49" s="1"/>
      <c r="AA49" s="1"/>
      <c r="AB49" s="4">
        <f>IF(MINUTE(AB45)&gt;0,FLOOR(AE45,0.041666667),AE45)</f>
        <v>0</v>
      </c>
      <c r="AG49" s="4"/>
      <c r="AH49" s="4"/>
      <c r="AI49" s="4"/>
      <c r="AK49" s="4">
        <f>VLOOKUP(AS49,Data!$F$80:$H$91,3)</f>
        <v>53.5</v>
      </c>
      <c r="AL49" s="4" t="s">
        <v>235</v>
      </c>
      <c r="AP49" s="257">
        <f>T41*Z40</f>
        <v>70519.784400000004</v>
      </c>
      <c r="AQ49" s="4">
        <f>AP49*0.075</f>
        <v>5288.9838300000001</v>
      </c>
      <c r="AR49" s="4">
        <f>AP49*0.0355</f>
        <v>2503.4523461999997</v>
      </c>
      <c r="AS49" s="62">
        <f>AP49-AQ49-AR49</f>
        <v>62727.348223800007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D50" s="1"/>
      <c r="E50" s="1"/>
      <c r="F50" s="4"/>
      <c r="G50" s="4"/>
      <c r="J50" s="15" t="s">
        <v>240</v>
      </c>
      <c r="K50" s="4"/>
      <c r="L50" s="4"/>
      <c r="M50" s="65">
        <f>AM38</f>
        <v>0</v>
      </c>
      <c r="N50" s="4" t="s">
        <v>241</v>
      </c>
      <c r="O50" s="54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G50" s="4"/>
      <c r="AH50" s="4"/>
      <c r="AI50" s="4"/>
      <c r="AK50" s="62">
        <f>100-AK49</f>
        <v>46.5</v>
      </c>
      <c r="AL50" s="4" t="s">
        <v>236</v>
      </c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D51" s="1"/>
      <c r="E51" s="1"/>
      <c r="F51" s="4"/>
      <c r="G51" s="133">
        <v>0</v>
      </c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G51" s="4" t="s">
        <v>153</v>
      </c>
      <c r="AH51" s="4">
        <f>AH43*0.00325*0.9645*AK50</f>
        <v>0</v>
      </c>
      <c r="AI51" s="4"/>
      <c r="AK51" s="62">
        <f>AK44/100*20</f>
        <v>3.4191993951369732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AK44/100*35</f>
        <v>5.9835989414897028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D54" s="1"/>
      <c r="E54" s="1"/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78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AK44/24</f>
        <v>0.71233320732020278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D55" s="1"/>
      <c r="E55" s="1"/>
      <c r="F55" s="4"/>
      <c r="G55" s="121">
        <v>0</v>
      </c>
      <c r="H55" s="4"/>
      <c r="L55" s="70" t="s">
        <v>130</v>
      </c>
      <c r="M55" s="70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AK44/15</f>
        <v>1.1397331317123245</v>
      </c>
      <c r="AL55" s="17" t="s">
        <v>251</v>
      </c>
      <c r="AM55" s="17"/>
      <c r="AN55" s="17"/>
      <c r="AO55" s="17"/>
      <c r="AP55" s="83"/>
      <c r="AY55" s="4">
        <f>SUM(AY7:AY53)</f>
        <v>33228</v>
      </c>
      <c r="BB55" s="2"/>
    </row>
    <row r="56" spans="3:54" x14ac:dyDescent="0.2">
      <c r="C56" s="166" t="s">
        <v>243</v>
      </c>
      <c r="D56" s="1"/>
      <c r="E56" s="4"/>
      <c r="F56" s="1"/>
      <c r="G56" s="4"/>
      <c r="H56" s="4"/>
      <c r="W56" s="106"/>
      <c r="X56" s="1"/>
      <c r="BB56" s="2"/>
    </row>
    <row r="57" spans="3:54" x14ac:dyDescent="0.2">
      <c r="BB57" s="2"/>
    </row>
    <row r="58" spans="3:54" x14ac:dyDescent="0.2">
      <c r="J58" s="4"/>
      <c r="K58" s="4"/>
      <c r="L58" s="4"/>
      <c r="M58" s="70"/>
      <c r="N58" s="70"/>
      <c r="O58" s="4"/>
      <c r="S58" s="4"/>
      <c r="T58" s="1"/>
      <c r="U58" s="1"/>
      <c r="V58" s="4"/>
    </row>
    <row r="59" spans="3:54" x14ac:dyDescent="0.2">
      <c r="F59" s="4"/>
      <c r="G59" s="1"/>
      <c r="H59" s="4"/>
      <c r="I59" s="4"/>
      <c r="J59" s="4"/>
      <c r="K59" s="4"/>
      <c r="L59" s="4"/>
      <c r="M59" s="70"/>
      <c r="N59" s="70"/>
      <c r="O59" s="4"/>
      <c r="S59" s="4"/>
      <c r="T59" s="1"/>
      <c r="U59" s="1"/>
      <c r="V59" s="4"/>
      <c r="W59" s="4"/>
      <c r="X59" s="54"/>
      <c r="Y59" s="2"/>
    </row>
    <row r="60" spans="3:54" x14ac:dyDescent="0.2">
      <c r="F60" s="4"/>
      <c r="G60" s="1"/>
      <c r="H60" s="4"/>
      <c r="I60" s="4"/>
      <c r="W60" s="4"/>
      <c r="X60" s="62"/>
      <c r="Y60" s="4"/>
    </row>
  </sheetData>
  <sheetProtection algorithmName="SHA-512" hashValue="iV6TbG4/pirAyI43eKtAEMJWL99A0b9aEuR5tGQfGG8qmUNtCmLPstLP2VJj62rzrWL9YT5DTd5FsyoR4dyaqQ==" saltValue="na0ToYvyQ/DgMRjZ7UcPmQ==" spinCount="100000" sheet="1" objects="1" scenarios="1"/>
  <mergeCells count="2">
    <mergeCell ref="R40:S40"/>
    <mergeCell ref="R41:S41"/>
  </mergeCells>
  <phoneticPr fontId="0" type="noConversion"/>
  <conditionalFormatting sqref="F8:G11">
    <cfRule type="timePeriod" dxfId="5" priority="4" timePeriod="lastWeek">
      <formula>AND(TODAY()-ROUNDDOWN(F8,0)&gt;=(WEEKDAY(TODAY())),TODAY()-ROUNDDOWN(F8,0)&lt;(WEEKDAY(TODAY())+7))</formula>
    </cfRule>
  </conditionalFormatting>
  <conditionalFormatting sqref="F14:G18">
    <cfRule type="timePeriod" dxfId="4" priority="3" timePeriod="lastWeek">
      <formula>AND(TODAY()-ROUNDDOWN(F14,0)&gt;=(WEEKDAY(TODAY())),TODAY()-ROUNDDOWN(F14,0)&lt;(WEEKDAY(TODAY())+7))</formula>
    </cfRule>
  </conditionalFormatting>
  <conditionalFormatting sqref="F21:G25">
    <cfRule type="timePeriod" dxfId="3" priority="2" timePeriod="lastWeek">
      <formula>AND(TODAY()-ROUNDDOWN(F21,0)&gt;=(WEEKDAY(TODAY())),TODAY()-ROUNDDOWN(F21,0)&lt;(WEEKDAY(TODAY())+7))</formula>
    </cfRule>
  </conditionalFormatting>
  <conditionalFormatting sqref="F28:G30">
    <cfRule type="timePeriod" dxfId="2" priority="7" timePeriod="lastWeek">
      <formula>AND(TODAY()-ROUNDDOWN(F28,0)&gt;=(WEEKDAY(TODAY())),TODAY()-ROUNDDOWN(F28,0)&lt;(WEEKDAY(TODAY())+7))</formula>
    </cfRule>
  </conditionalFormatting>
  <conditionalFormatting sqref="F32:G32">
    <cfRule type="timePeriod" dxfId="1" priority="1" timePeriod="lastWeek">
      <formula>AND(TODAY()-ROUNDDOWN(F32,0)&gt;=(WEEKDAY(TODAY())),TODAY()-ROUNDDOWN(F32,0)&lt;(WEEKDAY(TODAY())+7))</formula>
    </cfRule>
  </conditionalFormatting>
  <conditionalFormatting sqref="F35:G37">
    <cfRule type="timePeriod" dxfId="0" priority="6" timePeriod="lastWeek">
      <formula>AND(TODAY()-ROUNDDOWN(F35,0)&gt;=(WEEKDAY(TODAY())),TODAY()-ROUNDDOWN(F35,0)&lt;(WEEKDAY(TODAY())+7))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Blad15">
    <pageSetUpPr fitToPage="1"/>
  </sheetPr>
  <dimension ref="A1:N41"/>
  <sheetViews>
    <sheetView showGridLines="0" showRowColHeaders="0" workbookViewId="0"/>
  </sheetViews>
  <sheetFormatPr defaultRowHeight="12.75" x14ac:dyDescent="0.2"/>
  <cols>
    <col min="1" max="1" width="11.7109375" customWidth="1"/>
    <col min="8" max="8" width="8.140625" customWidth="1"/>
    <col min="9" max="9" width="8.7109375" customWidth="1"/>
    <col min="10" max="10" width="8.42578125" customWidth="1"/>
    <col min="11" max="11" width="8.85546875" customWidth="1"/>
    <col min="12" max="12" width="8.42578125" customWidth="1"/>
    <col min="13" max="13" width="13" customWidth="1"/>
    <col min="14" max="14" width="7.5703125" customWidth="1"/>
  </cols>
  <sheetData>
    <row r="1" spans="1:14" x14ac:dyDescent="0.2">
      <c r="A1" s="175" t="s">
        <v>610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2"/>
    </row>
    <row r="2" spans="1:14" s="177" customFormat="1" x14ac:dyDescent="0.2">
      <c r="A2" s="116" t="s">
        <v>611</v>
      </c>
      <c r="B2" s="179" t="s">
        <v>612</v>
      </c>
      <c r="C2" s="179"/>
      <c r="D2" s="182" t="s">
        <v>613</v>
      </c>
      <c r="E2" s="182"/>
      <c r="F2" s="179" t="s">
        <v>614</v>
      </c>
      <c r="G2" s="179"/>
      <c r="H2" s="182" t="s">
        <v>615</v>
      </c>
      <c r="I2" s="182"/>
      <c r="J2" s="179" t="s">
        <v>616</v>
      </c>
      <c r="K2" s="179"/>
      <c r="L2" s="182" t="s">
        <v>617</v>
      </c>
      <c r="M2" s="182"/>
      <c r="N2" s="176"/>
    </row>
    <row r="3" spans="1:14" ht="13.5" thickBot="1" x14ac:dyDescent="0.25">
      <c r="A3" s="115" t="s">
        <v>618</v>
      </c>
      <c r="B3" s="180">
        <v>1</v>
      </c>
      <c r="C3" s="181" t="s">
        <v>209</v>
      </c>
      <c r="D3" s="183">
        <v>1</v>
      </c>
      <c r="E3" s="184" t="s">
        <v>209</v>
      </c>
      <c r="F3" s="180">
        <v>1</v>
      </c>
      <c r="G3" s="181" t="s">
        <v>209</v>
      </c>
      <c r="H3" s="183">
        <v>1</v>
      </c>
      <c r="I3" s="184" t="s">
        <v>209</v>
      </c>
      <c r="J3" s="180">
        <v>1</v>
      </c>
      <c r="K3" s="181" t="s">
        <v>209</v>
      </c>
      <c r="L3" s="183">
        <v>1</v>
      </c>
      <c r="M3" s="184" t="s">
        <v>209</v>
      </c>
      <c r="N3" s="2"/>
    </row>
    <row r="4" spans="1:14" ht="13.5" thickTop="1" x14ac:dyDescent="0.2">
      <c r="A4" s="91" t="s">
        <v>619</v>
      </c>
      <c r="B4" s="201">
        <v>13409.11</v>
      </c>
      <c r="C4" s="201">
        <v>12735.61</v>
      </c>
      <c r="D4" s="185">
        <v>13409.11</v>
      </c>
      <c r="E4" s="185">
        <v>12735.61</v>
      </c>
      <c r="F4" s="201">
        <v>14965.16</v>
      </c>
      <c r="G4" s="201">
        <v>14256.61</v>
      </c>
      <c r="H4" s="185">
        <v>16048.38</v>
      </c>
      <c r="I4" s="185">
        <v>15922.55</v>
      </c>
      <c r="J4" s="201">
        <v>17924.689999999999</v>
      </c>
      <c r="K4" s="201">
        <v>17727.29</v>
      </c>
      <c r="L4" s="185">
        <v>19710.59</v>
      </c>
      <c r="M4" s="185">
        <v>19515.45</v>
      </c>
      <c r="N4" s="2"/>
    </row>
    <row r="5" spans="1:14" x14ac:dyDescent="0.2">
      <c r="A5" s="6" t="s">
        <v>620</v>
      </c>
      <c r="B5" s="202">
        <v>13802.89</v>
      </c>
      <c r="C5" s="202">
        <v>13000.56</v>
      </c>
      <c r="D5" s="186">
        <v>13802.89</v>
      </c>
      <c r="E5" s="186">
        <v>13088.54</v>
      </c>
      <c r="F5" s="202">
        <v>15326.72</v>
      </c>
      <c r="G5" s="202">
        <v>14698.09</v>
      </c>
      <c r="H5" s="186">
        <v>16481.259999999998</v>
      </c>
      <c r="I5" s="186">
        <v>16364.03</v>
      </c>
      <c r="J5" s="202">
        <v>18361.88</v>
      </c>
      <c r="K5" s="202">
        <v>18168.77</v>
      </c>
      <c r="L5" s="186">
        <v>20156.48</v>
      </c>
      <c r="M5" s="186">
        <v>19956.93</v>
      </c>
      <c r="N5" s="2"/>
    </row>
    <row r="6" spans="1:14" x14ac:dyDescent="0.2">
      <c r="A6" s="6" t="s">
        <v>621</v>
      </c>
      <c r="B6" s="202">
        <v>14196.67</v>
      </c>
      <c r="C6" s="202">
        <v>13265.51</v>
      </c>
      <c r="D6" s="186">
        <v>14196.67</v>
      </c>
      <c r="E6" s="186">
        <v>13441.47</v>
      </c>
      <c r="F6" s="202">
        <v>15688.28</v>
      </c>
      <c r="G6" s="202">
        <v>15139.57</v>
      </c>
      <c r="H6" s="186">
        <v>16914.14</v>
      </c>
      <c r="I6" s="186">
        <v>16805.509999999998</v>
      </c>
      <c r="J6" s="202">
        <v>18799.07</v>
      </c>
      <c r="K6" s="202">
        <v>18610.25</v>
      </c>
      <c r="L6" s="186">
        <v>20602.37</v>
      </c>
      <c r="M6" s="186">
        <v>20398.41</v>
      </c>
      <c r="N6" s="2"/>
    </row>
    <row r="7" spans="1:14" x14ac:dyDescent="0.2">
      <c r="A7" s="6" t="s">
        <v>622</v>
      </c>
      <c r="B7" s="202">
        <v>14590.45</v>
      </c>
      <c r="C7" s="202">
        <v>13530.46</v>
      </c>
      <c r="D7" s="186">
        <v>14590.45</v>
      </c>
      <c r="E7" s="186">
        <v>13794.4</v>
      </c>
      <c r="F7" s="202">
        <v>16049.84</v>
      </c>
      <c r="G7" s="202">
        <v>15581.05</v>
      </c>
      <c r="H7" s="186">
        <v>17347.02</v>
      </c>
      <c r="I7" s="186">
        <v>17246.990000000002</v>
      </c>
      <c r="J7" s="202">
        <v>19242.23</v>
      </c>
      <c r="K7" s="202">
        <v>19051.73</v>
      </c>
      <c r="L7" s="186">
        <v>21048.26</v>
      </c>
      <c r="M7" s="186">
        <v>20839.89</v>
      </c>
      <c r="N7" s="2"/>
    </row>
    <row r="8" spans="1:14" x14ac:dyDescent="0.2">
      <c r="A8" s="6" t="s">
        <v>623</v>
      </c>
      <c r="B8" s="202"/>
      <c r="C8" s="202">
        <v>13795.41</v>
      </c>
      <c r="D8" s="186"/>
      <c r="E8" s="186">
        <v>14147.33</v>
      </c>
      <c r="F8" s="202"/>
      <c r="G8" s="202"/>
      <c r="H8" s="186"/>
      <c r="I8" s="186"/>
      <c r="J8" s="202"/>
      <c r="K8" s="202"/>
      <c r="L8" s="186"/>
      <c r="M8" s="186"/>
      <c r="N8" s="2"/>
    </row>
    <row r="9" spans="1:14" x14ac:dyDescent="0.2">
      <c r="A9" s="6" t="s">
        <v>624</v>
      </c>
      <c r="B9" s="202">
        <v>15167.43</v>
      </c>
      <c r="C9" s="202">
        <v>14060.36</v>
      </c>
      <c r="D9" s="186">
        <v>15345.24</v>
      </c>
      <c r="E9" s="186">
        <v>14500.26</v>
      </c>
      <c r="F9" s="202">
        <v>16752.87</v>
      </c>
      <c r="G9" s="202">
        <v>15948.95</v>
      </c>
      <c r="H9" s="186">
        <v>17912.79</v>
      </c>
      <c r="I9" s="186">
        <v>17688.47</v>
      </c>
      <c r="J9" s="202">
        <v>19985.919999999998</v>
      </c>
      <c r="K9" s="202">
        <v>19493.21</v>
      </c>
      <c r="L9" s="186">
        <v>21494.94</v>
      </c>
      <c r="M9" s="186">
        <v>21207.79</v>
      </c>
      <c r="N9" s="2"/>
    </row>
    <row r="10" spans="1:14" x14ac:dyDescent="0.2">
      <c r="A10" s="6" t="s">
        <v>625</v>
      </c>
      <c r="B10" s="202">
        <v>15744.41</v>
      </c>
      <c r="C10" s="202">
        <v>14315.77</v>
      </c>
      <c r="D10" s="186">
        <v>16100.03</v>
      </c>
      <c r="E10" s="186">
        <v>15038.91</v>
      </c>
      <c r="F10" s="202">
        <v>17452.830000000002</v>
      </c>
      <c r="G10" s="202">
        <v>16316.85</v>
      </c>
      <c r="H10" s="186">
        <v>18478.560000000001</v>
      </c>
      <c r="I10" s="186">
        <v>18129.95</v>
      </c>
      <c r="J10" s="202">
        <v>20729.61</v>
      </c>
      <c r="K10" s="202">
        <v>19934.689999999999</v>
      </c>
      <c r="L10" s="186">
        <v>21941.62</v>
      </c>
      <c r="M10" s="186">
        <v>21575.69</v>
      </c>
      <c r="N10" s="2"/>
    </row>
    <row r="11" spans="1:14" x14ac:dyDescent="0.2">
      <c r="A11" s="6" t="s">
        <v>626</v>
      </c>
      <c r="B11" s="202">
        <v>16321.39</v>
      </c>
      <c r="C11" s="202">
        <v>14571.18</v>
      </c>
      <c r="D11" s="186">
        <v>16854.82</v>
      </c>
      <c r="E11" s="186">
        <v>15577.56</v>
      </c>
      <c r="F11" s="202">
        <v>18152.79</v>
      </c>
      <c r="G11" s="202">
        <v>16758.330000000002</v>
      </c>
      <c r="H11" s="186">
        <v>19044.330000000002</v>
      </c>
      <c r="I11" s="186">
        <v>18571.43</v>
      </c>
      <c r="J11" s="202">
        <v>21473.3</v>
      </c>
      <c r="K11" s="202">
        <v>20376.169999999998</v>
      </c>
      <c r="L11" s="186">
        <v>22388.3</v>
      </c>
      <c r="M11" s="186">
        <v>21943.59</v>
      </c>
      <c r="N11" s="2"/>
    </row>
    <row r="12" spans="1:14" x14ac:dyDescent="0.2">
      <c r="A12" s="6" t="s">
        <v>627</v>
      </c>
      <c r="B12" s="202">
        <v>16898.37</v>
      </c>
      <c r="C12" s="202">
        <v>14953.78</v>
      </c>
      <c r="D12" s="186">
        <v>17609.61</v>
      </c>
      <c r="E12" s="186">
        <v>16317.7</v>
      </c>
      <c r="F12" s="202">
        <v>18852.75</v>
      </c>
      <c r="G12" s="202">
        <v>17199.810000000001</v>
      </c>
      <c r="H12" s="186">
        <v>19610.099999999999</v>
      </c>
      <c r="I12" s="186">
        <v>19012.91</v>
      </c>
      <c r="J12" s="202">
        <v>22216.99</v>
      </c>
      <c r="K12" s="202">
        <v>20817.650000000001</v>
      </c>
      <c r="L12" s="186">
        <v>22834.98</v>
      </c>
      <c r="M12" s="186">
        <v>22311.49</v>
      </c>
      <c r="N12" s="2"/>
    </row>
    <row r="13" spans="1:14" x14ac:dyDescent="0.2">
      <c r="A13" s="6" t="s">
        <v>628</v>
      </c>
      <c r="B13" s="202">
        <v>17450.560000000001</v>
      </c>
      <c r="C13" s="202">
        <v>15336.38</v>
      </c>
      <c r="D13" s="186">
        <v>18211.38</v>
      </c>
      <c r="E13" s="186">
        <v>17057.84</v>
      </c>
      <c r="F13" s="202">
        <v>19552.71</v>
      </c>
      <c r="G13" s="202">
        <v>17641.29</v>
      </c>
      <c r="H13" s="186">
        <v>20175.87</v>
      </c>
      <c r="I13" s="186">
        <v>19454.39</v>
      </c>
      <c r="J13" s="202">
        <v>22960.68</v>
      </c>
      <c r="K13" s="202">
        <v>21259.13</v>
      </c>
      <c r="L13" s="186">
        <v>23381.02</v>
      </c>
      <c r="M13" s="186">
        <v>22752.97</v>
      </c>
      <c r="N13" s="2"/>
    </row>
    <row r="14" spans="1:14" x14ac:dyDescent="0.2">
      <c r="A14" s="6" t="s">
        <v>629</v>
      </c>
      <c r="B14" s="202">
        <v>18002.75</v>
      </c>
      <c r="C14" s="202">
        <v>15718.98</v>
      </c>
      <c r="D14" s="186">
        <v>18813.150000000001</v>
      </c>
      <c r="E14" s="186">
        <v>17797.98</v>
      </c>
      <c r="F14" s="202">
        <v>20252.669999999998</v>
      </c>
      <c r="G14" s="202">
        <v>18082.77</v>
      </c>
      <c r="H14" s="186">
        <v>20816.060000000001</v>
      </c>
      <c r="I14" s="186">
        <v>19895.87</v>
      </c>
      <c r="J14" s="202">
        <v>23406.57</v>
      </c>
      <c r="K14" s="202">
        <v>21700.61</v>
      </c>
      <c r="L14" s="186">
        <v>23927.06</v>
      </c>
      <c r="M14" s="186">
        <v>23194.45</v>
      </c>
      <c r="N14" s="2"/>
    </row>
    <row r="15" spans="1:14" x14ac:dyDescent="0.2">
      <c r="A15" s="6" t="s">
        <v>630</v>
      </c>
      <c r="B15" s="202">
        <v>18554.939999999999</v>
      </c>
      <c r="C15" s="202">
        <v>16101.58</v>
      </c>
      <c r="D15" s="186">
        <v>19414.919999999998</v>
      </c>
      <c r="E15" s="186">
        <v>18538.12</v>
      </c>
      <c r="F15" s="202">
        <v>20952.63</v>
      </c>
      <c r="G15" s="202">
        <v>18793.560000000001</v>
      </c>
      <c r="H15" s="186">
        <v>21456.25</v>
      </c>
      <c r="I15" s="186">
        <v>20337.349999999999</v>
      </c>
      <c r="J15" s="202">
        <v>23852.46</v>
      </c>
      <c r="K15" s="202">
        <v>22142.09</v>
      </c>
      <c r="L15" s="186">
        <v>24473.1</v>
      </c>
      <c r="M15" s="186">
        <v>23635.93</v>
      </c>
      <c r="N15" s="2"/>
    </row>
    <row r="16" spans="1:14" x14ac:dyDescent="0.2">
      <c r="A16" s="6" t="s">
        <v>631</v>
      </c>
      <c r="B16" s="202">
        <v>19107.13</v>
      </c>
      <c r="C16" s="202">
        <v>16484.18</v>
      </c>
      <c r="D16" s="186">
        <v>20016.689999999999</v>
      </c>
      <c r="E16" s="186">
        <v>19278.259999999998</v>
      </c>
      <c r="F16" s="202">
        <v>21457.64</v>
      </c>
      <c r="G16" s="202">
        <v>19504.349999999999</v>
      </c>
      <c r="H16" s="186">
        <v>22096.44</v>
      </c>
      <c r="I16" s="186">
        <v>20778.830000000002</v>
      </c>
      <c r="J16" s="202">
        <v>24298.35</v>
      </c>
      <c r="K16" s="202">
        <v>22583.57</v>
      </c>
      <c r="L16" s="186">
        <v>25019.14</v>
      </c>
      <c r="M16" s="186">
        <v>24077.41</v>
      </c>
      <c r="N16" s="2"/>
    </row>
    <row r="17" spans="1:14" x14ac:dyDescent="0.2">
      <c r="A17" s="6" t="s">
        <v>632</v>
      </c>
      <c r="B17" s="202">
        <v>19659.32</v>
      </c>
      <c r="C17" s="202">
        <v>16866.78</v>
      </c>
      <c r="D17" s="186">
        <v>20618.46</v>
      </c>
      <c r="E17" s="186">
        <v>20018.400000000001</v>
      </c>
      <c r="F17" s="202">
        <v>21962.65</v>
      </c>
      <c r="G17" s="202">
        <v>20215.14</v>
      </c>
      <c r="H17" s="186">
        <v>22736.63</v>
      </c>
      <c r="I17" s="186">
        <v>21542.92</v>
      </c>
      <c r="J17" s="202">
        <v>24744.240000000002</v>
      </c>
      <c r="K17" s="202">
        <v>23319.919999999998</v>
      </c>
      <c r="L17" s="186">
        <v>25741.58</v>
      </c>
      <c r="M17" s="186">
        <v>24872.04</v>
      </c>
      <c r="N17" s="2"/>
    </row>
    <row r="18" spans="1:14" x14ac:dyDescent="0.2">
      <c r="A18" s="6" t="s">
        <v>633</v>
      </c>
      <c r="B18" s="202"/>
      <c r="C18" s="202"/>
      <c r="D18" s="186">
        <v>21220.23</v>
      </c>
      <c r="E18" s="186">
        <v>20758.54</v>
      </c>
      <c r="F18" s="202">
        <v>22467.66</v>
      </c>
      <c r="G18" s="202">
        <v>20925.93</v>
      </c>
      <c r="H18" s="186">
        <v>23376.82</v>
      </c>
      <c r="I18" s="186">
        <v>22307.01</v>
      </c>
      <c r="J18" s="202">
        <v>25190.13</v>
      </c>
      <c r="K18" s="202">
        <v>24056.27</v>
      </c>
      <c r="L18" s="186">
        <v>26464.02</v>
      </c>
      <c r="M18" s="186">
        <v>25666.67</v>
      </c>
      <c r="N18" s="2"/>
    </row>
    <row r="19" spans="1:14" x14ac:dyDescent="0.2">
      <c r="A19" s="6" t="s">
        <v>634</v>
      </c>
      <c r="B19" s="202"/>
      <c r="C19" s="202"/>
      <c r="D19" s="186">
        <v>21822</v>
      </c>
      <c r="E19" s="186">
        <v>21498.68</v>
      </c>
      <c r="F19" s="202">
        <v>22972.67</v>
      </c>
      <c r="G19" s="202">
        <v>21636.720000000001</v>
      </c>
      <c r="H19" s="186">
        <v>23837.58</v>
      </c>
      <c r="I19" s="186">
        <v>23071.1</v>
      </c>
      <c r="J19" s="202">
        <v>25636.02</v>
      </c>
      <c r="K19" s="202">
        <v>24792.62</v>
      </c>
      <c r="L19" s="186">
        <v>27186.46</v>
      </c>
      <c r="M19" s="186">
        <v>26461.3</v>
      </c>
      <c r="N19" s="2"/>
    </row>
    <row r="20" spans="1:14" x14ac:dyDescent="0.2">
      <c r="A20" s="6" t="s">
        <v>635</v>
      </c>
      <c r="B20" s="202"/>
      <c r="C20" s="202"/>
      <c r="D20" s="186">
        <v>22423.77</v>
      </c>
      <c r="E20" s="186">
        <v>22238.82</v>
      </c>
      <c r="F20" s="202">
        <v>23477.68</v>
      </c>
      <c r="G20" s="202">
        <v>22347.51</v>
      </c>
      <c r="H20" s="186">
        <v>24298.34</v>
      </c>
      <c r="I20" s="186">
        <v>23835.19</v>
      </c>
      <c r="J20" s="202">
        <v>26081.91</v>
      </c>
      <c r="K20" s="202">
        <v>25528.97</v>
      </c>
      <c r="L20" s="186">
        <v>27908.9</v>
      </c>
      <c r="M20" s="186">
        <v>27255.93</v>
      </c>
      <c r="N20" s="2"/>
    </row>
    <row r="21" spans="1:14" x14ac:dyDescent="0.2">
      <c r="A21" s="6" t="s">
        <v>636</v>
      </c>
      <c r="B21" s="202"/>
      <c r="C21" s="202"/>
      <c r="D21" s="186"/>
      <c r="E21" s="186"/>
      <c r="F21" s="202">
        <v>23982.69</v>
      </c>
      <c r="G21" s="202">
        <v>23063.85</v>
      </c>
      <c r="H21" s="186">
        <v>24759.1</v>
      </c>
      <c r="I21" s="186">
        <v>24599.279999999999</v>
      </c>
      <c r="J21" s="202">
        <v>26527.8</v>
      </c>
      <c r="K21" s="202">
        <v>26265.32</v>
      </c>
      <c r="L21" s="186">
        <v>28631.34</v>
      </c>
      <c r="M21" s="186">
        <v>28050.560000000001</v>
      </c>
      <c r="N21" s="2"/>
    </row>
    <row r="22" spans="1:14" x14ac:dyDescent="0.2">
      <c r="A22" s="4" t="s">
        <v>637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"/>
    </row>
    <row r="23" spans="1:14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10" t="s">
        <v>638</v>
      </c>
      <c r="N23" s="2"/>
    </row>
    <row r="24" spans="1:14" x14ac:dyDescent="0.2">
      <c r="A24" s="57"/>
      <c r="B24" s="247" t="s">
        <v>639</v>
      </c>
      <c r="C24" s="248"/>
      <c r="D24" s="249"/>
      <c r="E24" s="250" t="s">
        <v>640</v>
      </c>
      <c r="F24" s="251"/>
      <c r="G24" s="251"/>
      <c r="H24" s="252"/>
      <c r="K24" s="178"/>
      <c r="L24" s="129"/>
      <c r="M24" s="211" t="s">
        <v>641</v>
      </c>
      <c r="N24" s="213" t="s">
        <v>130</v>
      </c>
    </row>
    <row r="25" spans="1:14" x14ac:dyDescent="0.2">
      <c r="A25" s="57"/>
      <c r="B25" s="205" t="s">
        <v>122</v>
      </c>
      <c r="C25" s="206" t="s">
        <v>642</v>
      </c>
      <c r="D25" s="207" t="s">
        <v>643</v>
      </c>
      <c r="E25" s="205" t="s">
        <v>122</v>
      </c>
      <c r="F25" s="208" t="s">
        <v>644</v>
      </c>
      <c r="G25" s="209" t="s">
        <v>645</v>
      </c>
      <c r="H25" s="207" t="s">
        <v>643</v>
      </c>
      <c r="I25" s="253" t="s">
        <v>646</v>
      </c>
      <c r="J25" s="254"/>
      <c r="K25" s="253" t="s">
        <v>647</v>
      </c>
      <c r="L25" s="255"/>
      <c r="M25" s="212" t="s">
        <v>648</v>
      </c>
      <c r="N25" s="214" t="s">
        <v>141</v>
      </c>
    </row>
    <row r="26" spans="1:14" x14ac:dyDescent="0.2">
      <c r="A26" s="215" t="s">
        <v>649</v>
      </c>
      <c r="B26" s="217">
        <f>Jan!AK40/0.041666667</f>
        <v>0</v>
      </c>
      <c r="C26" s="218">
        <f>Jan!AD40/0.041666667</f>
        <v>0</v>
      </c>
      <c r="D26" s="219">
        <f>IF(Jan!G48="x",Jan!AB51/0.041666667,0)</f>
        <v>0</v>
      </c>
      <c r="E26" s="223">
        <f>Jan!AK40/0.041666667</f>
        <v>0</v>
      </c>
      <c r="F26" s="224">
        <f>Jan!AF40/0.041666667</f>
        <v>0</v>
      </c>
      <c r="G26" s="224">
        <f>Jan!AG40/0.041666667</f>
        <v>0</v>
      </c>
      <c r="H26" s="225">
        <f>IF(Jan!G48="x",Jan!AB51/0.041666667,0)</f>
        <v>0</v>
      </c>
      <c r="I26" s="237">
        <f>(B26*Jan!AH43)+(C26*Jan!AH51)+(D26*Jan!AH44)</f>
        <v>0</v>
      </c>
      <c r="J26" s="238"/>
      <c r="K26" s="229">
        <f>(E26*Jan!AK43)+(F26*Jan!AK51)+(G26*Jan!AK52)+(H26*Jan!AK43)</f>
        <v>0</v>
      </c>
      <c r="L26" s="230"/>
      <c r="M26" s="190">
        <f t="shared" ref="M26:M37" si="0">K26-I26</f>
        <v>0</v>
      </c>
      <c r="N26" s="192">
        <f>M26</f>
        <v>0</v>
      </c>
    </row>
    <row r="27" spans="1:14" x14ac:dyDescent="0.2">
      <c r="A27" s="215" t="s">
        <v>650</v>
      </c>
      <c r="B27" s="217">
        <f>Feb!AK38/0.041666667</f>
        <v>0</v>
      </c>
      <c r="C27" s="218">
        <f>Feb!AD38/0.041666667</f>
        <v>0</v>
      </c>
      <c r="D27" s="219">
        <f>IF(Feb!G46="x",Feb!AB49/0.041666667,0)</f>
        <v>0</v>
      </c>
      <c r="E27" s="223">
        <f>Feb!AK38/0.041666667</f>
        <v>0</v>
      </c>
      <c r="F27" s="224">
        <f>Feb!AF38/0.041666667</f>
        <v>0</v>
      </c>
      <c r="G27" s="224">
        <f>Feb!AG38/0.041666667</f>
        <v>0</v>
      </c>
      <c r="H27" s="225">
        <f>IF(Feb!G46="x",Feb!AB49/0.041666667,0)</f>
        <v>0</v>
      </c>
      <c r="I27" s="237">
        <f>(B27*Feb!AH41)+(C27*Feb!AH49)+(D27*Feb!AH42)</f>
        <v>0</v>
      </c>
      <c r="J27" s="239"/>
      <c r="K27" s="229">
        <f>(E27*Feb!AK41)+(F27*Feb!AK49)+(G27*Feb!AK50)+(H27*Feb!AK41)</f>
        <v>0</v>
      </c>
      <c r="L27" s="230"/>
      <c r="M27" s="191">
        <f t="shared" si="0"/>
        <v>0</v>
      </c>
      <c r="N27" s="192">
        <f>N26+M27</f>
        <v>0</v>
      </c>
    </row>
    <row r="28" spans="1:14" x14ac:dyDescent="0.2">
      <c r="A28" s="215" t="s">
        <v>651</v>
      </c>
      <c r="B28" s="217">
        <f>Mar!AK40/0.041666667</f>
        <v>0</v>
      </c>
      <c r="C28" s="218">
        <f>Mar!AD40/0.041666667</f>
        <v>0</v>
      </c>
      <c r="D28" s="219">
        <f>IF(Mar!G48="x",Mar!AB51/0.041666667,0)</f>
        <v>0</v>
      </c>
      <c r="E28" s="223">
        <f>Mar!AK40/0.041666667</f>
        <v>0</v>
      </c>
      <c r="F28" s="224">
        <f>Mar!AF40/0.041666667</f>
        <v>0</v>
      </c>
      <c r="G28" s="224">
        <f>Mar!AG40/0.041666667</f>
        <v>0</v>
      </c>
      <c r="H28" s="225">
        <f>IF(Mar!G48="x",Mar!AB51/0.041666667,0)</f>
        <v>0</v>
      </c>
      <c r="I28" s="237">
        <f>(B28*Mar!AH43)+(C28*Mar!AH51)+(D28*Mar!AH44)</f>
        <v>0</v>
      </c>
      <c r="J28" s="239"/>
      <c r="K28" s="229">
        <f>(E28*Mar!AK43)+(F28*Mar!AK51)+(G28*Mar!AK52)+(H28*Mar!AK43)</f>
        <v>0</v>
      </c>
      <c r="L28" s="230"/>
      <c r="M28" s="191">
        <f t="shared" si="0"/>
        <v>0</v>
      </c>
      <c r="N28" s="192">
        <f>N27+M28</f>
        <v>0</v>
      </c>
    </row>
    <row r="29" spans="1:14" x14ac:dyDescent="0.2">
      <c r="A29" s="215" t="s">
        <v>652</v>
      </c>
      <c r="B29" s="217">
        <f>Apr!AK39/0.041666667</f>
        <v>0</v>
      </c>
      <c r="C29" s="218">
        <f>Apr!AD39/0.041666667</f>
        <v>0</v>
      </c>
      <c r="D29" s="219">
        <f>IF(Apr!G47="x",Apr!AB48/0.041666667,0)</f>
        <v>0</v>
      </c>
      <c r="E29" s="223">
        <f>Apr!AK39/0.041666667</f>
        <v>0</v>
      </c>
      <c r="F29" s="224">
        <f>Apr!AF39/0.041666667</f>
        <v>0</v>
      </c>
      <c r="G29" s="224">
        <f>Apr!AG39/0.041666667</f>
        <v>0</v>
      </c>
      <c r="H29" s="225">
        <f>IF(Apr!G47="x",Apr!AB48/0.041666667,0)</f>
        <v>0</v>
      </c>
      <c r="I29" s="237">
        <f>(B29*Apr!AH42)+(C29*Apr!AH50)+(D29*Apr!AH43)</f>
        <v>0</v>
      </c>
      <c r="J29" s="239"/>
      <c r="K29" s="229">
        <f>(E29*Apr!AK42)+(F29*Apr!AK51)+(G29*Apr!AK52)+(H29*Apr!AK42)</f>
        <v>0</v>
      </c>
      <c r="L29" s="230"/>
      <c r="M29" s="191">
        <f t="shared" si="0"/>
        <v>0</v>
      </c>
      <c r="N29" s="192">
        <f t="shared" ref="N29:N37" si="1">N28+M29</f>
        <v>0</v>
      </c>
    </row>
    <row r="30" spans="1:14" x14ac:dyDescent="0.2">
      <c r="A30" s="215" t="s">
        <v>653</v>
      </c>
      <c r="B30" s="217">
        <f>Mei!AK40/0.041666667</f>
        <v>0</v>
      </c>
      <c r="C30" s="218">
        <f>Mei!AD40/0.041666667</f>
        <v>0</v>
      </c>
      <c r="D30" s="219">
        <f>IF(Mei!G48="x",Mei!AB51/0.041666667,0)</f>
        <v>0</v>
      </c>
      <c r="E30" s="223">
        <f>Mei!AK40/0.041666667</f>
        <v>0</v>
      </c>
      <c r="F30" s="224">
        <f>Mei!AF40/0.041666667</f>
        <v>0</v>
      </c>
      <c r="G30" s="224">
        <f>Mei!AG40/0.041666667</f>
        <v>0</v>
      </c>
      <c r="H30" s="225">
        <f>IF(Mei!G48="x",Mei!AB51/0.041666667,0)</f>
        <v>0</v>
      </c>
      <c r="I30" s="237">
        <f>(B30*Mei!AH43)+(C30*Mei!AH51)+(D30*Mei!AH44)</f>
        <v>0</v>
      </c>
      <c r="J30" s="239"/>
      <c r="K30" s="229">
        <f>(E30*Mei!AK43)+(F30*Mei!AK51)+(G30*Mei!AK52)+(H30*Mei!AK43)</f>
        <v>0</v>
      </c>
      <c r="L30" s="230"/>
      <c r="M30" s="191">
        <f t="shared" si="0"/>
        <v>0</v>
      </c>
      <c r="N30" s="192">
        <f t="shared" si="1"/>
        <v>0</v>
      </c>
    </row>
    <row r="31" spans="1:14" x14ac:dyDescent="0.2">
      <c r="A31" s="215" t="s">
        <v>654</v>
      </c>
      <c r="B31" s="217">
        <f>Jun!AK39/0.041666667</f>
        <v>0</v>
      </c>
      <c r="C31" s="218">
        <f>Jun!AD39/0.041666667</f>
        <v>0</v>
      </c>
      <c r="D31" s="219">
        <f>IF(Jun!G47="x",Jun!AB48/0.041666667,0)</f>
        <v>0</v>
      </c>
      <c r="E31" s="223">
        <f>Jun!AK39/0.041666667</f>
        <v>0</v>
      </c>
      <c r="F31" s="224">
        <f>Jun!AF39/0.041666667</f>
        <v>0</v>
      </c>
      <c r="G31" s="224">
        <f>Jun!AG39/0.041666667</f>
        <v>0</v>
      </c>
      <c r="H31" s="225">
        <f>IF(Jun!G47="x",Jun!AB48/0.041666667,0)</f>
        <v>0</v>
      </c>
      <c r="I31" s="237">
        <f>(B31*Jun!AH42)+(C31*Jun!AH50)+(D31*Jun!AH43)</f>
        <v>0</v>
      </c>
      <c r="J31" s="239"/>
      <c r="K31" s="229">
        <f>(E31*Jun!AK42)+(F31*Jun!AK50)+(G31*Jun!AK51)+(H31*Jun!AK42)</f>
        <v>0</v>
      </c>
      <c r="L31" s="231"/>
      <c r="M31" s="191">
        <f t="shared" si="0"/>
        <v>0</v>
      </c>
      <c r="N31" s="192">
        <f t="shared" si="1"/>
        <v>0</v>
      </c>
    </row>
    <row r="32" spans="1:14" x14ac:dyDescent="0.2">
      <c r="A32" s="215" t="s">
        <v>655</v>
      </c>
      <c r="B32" s="217">
        <f>Jul!AK40/0.041666667</f>
        <v>0</v>
      </c>
      <c r="C32" s="218">
        <f>Jul!AD40/0.041666667</f>
        <v>0</v>
      </c>
      <c r="D32" s="219">
        <f>IF(Jul!G48="x",Jul!AB51/0.041666667,0)</f>
        <v>0</v>
      </c>
      <c r="E32" s="223">
        <f>Jul!AK40/0.041666667</f>
        <v>0</v>
      </c>
      <c r="F32" s="224">
        <f>Jul!AF40/0.041666667</f>
        <v>0</v>
      </c>
      <c r="G32" s="224">
        <f>Jul!AG40/0.041666667</f>
        <v>0</v>
      </c>
      <c r="H32" s="225">
        <f>IF(Jul!G48="x",Jul!AB51/0.041666667,0)</f>
        <v>0</v>
      </c>
      <c r="I32" s="237">
        <f>(B32*Jul!AH43)+(C32*Jul!AH51)+(D32*Jul!AH44)</f>
        <v>0</v>
      </c>
      <c r="J32" s="239"/>
      <c r="K32" s="229">
        <f>(E32*Jul!AK43)+(F32*Jul!AK51)+(G32*Jul!AK52)+(H32*Jul!AK43)</f>
        <v>0</v>
      </c>
      <c r="L32" s="231"/>
      <c r="M32" s="191">
        <f t="shared" si="0"/>
        <v>0</v>
      </c>
      <c r="N32" s="192">
        <f t="shared" si="1"/>
        <v>0</v>
      </c>
    </row>
    <row r="33" spans="1:14" x14ac:dyDescent="0.2">
      <c r="A33" s="215" t="s">
        <v>656</v>
      </c>
      <c r="B33" s="217">
        <f>Aug!AK40/0.041666667</f>
        <v>0</v>
      </c>
      <c r="C33" s="218">
        <f>Aug!AD40/0.041666667</f>
        <v>0</v>
      </c>
      <c r="D33" s="219">
        <f>IF(Aug!G48="x",Aug!AB51/0.041666667,0)</f>
        <v>0</v>
      </c>
      <c r="E33" s="223">
        <f>Aug!AK40/0.041666667</f>
        <v>0</v>
      </c>
      <c r="F33" s="224">
        <f>Aug!AF40/0.041666667</f>
        <v>0</v>
      </c>
      <c r="G33" s="224">
        <f>Aug!AG40/0.041666667</f>
        <v>0</v>
      </c>
      <c r="H33" s="225">
        <f>IF(Aug!G48="x",Aug!AB51/0.041666667,0)</f>
        <v>0</v>
      </c>
      <c r="I33" s="237">
        <f>(B33*Aug!AH43)+(C33*Aug!AH51)+(D33*Aug!AH44)</f>
        <v>0</v>
      </c>
      <c r="J33" s="239"/>
      <c r="K33" s="229">
        <f>(E33*Aug!AK43)+(F33*Aug!AK51)+(G33*Aug!AK52)+(H33*Aug!AK43)</f>
        <v>0</v>
      </c>
      <c r="L33" s="231"/>
      <c r="M33" s="191">
        <f t="shared" si="0"/>
        <v>0</v>
      </c>
      <c r="N33" s="192">
        <f t="shared" si="1"/>
        <v>0</v>
      </c>
    </row>
    <row r="34" spans="1:14" x14ac:dyDescent="0.2">
      <c r="A34" s="215" t="s">
        <v>657</v>
      </c>
      <c r="B34" s="217">
        <f>Sep!AK39/0.041666667</f>
        <v>0</v>
      </c>
      <c r="C34" s="218">
        <f>Sep!AD39/0.041666667</f>
        <v>0</v>
      </c>
      <c r="D34" s="219">
        <f>IF(Sep!G47="x",Sep!AB48/0.041666667,0)</f>
        <v>0</v>
      </c>
      <c r="E34" s="223">
        <f>Sep!AK39/0.041666667</f>
        <v>0</v>
      </c>
      <c r="F34" s="224">
        <f>Sep!AF39/0.041666667</f>
        <v>0</v>
      </c>
      <c r="G34" s="224">
        <f>Sep!AG39/0.041666667</f>
        <v>0</v>
      </c>
      <c r="H34" s="225">
        <f>IF(Sep!G47="x",Sep!AB48/0.041666667,0)</f>
        <v>0</v>
      </c>
      <c r="I34" s="237">
        <f>(B34*Sep!AH42)+(C34*Sep!AH50)+(D34*Sep!AH43)</f>
        <v>0</v>
      </c>
      <c r="J34" s="239"/>
      <c r="K34" s="229">
        <f>(E34*Sep!AK42)+(F34*Sep!AK50)+(G34*Sep!AK51)+(H34*Sep!AK42)</f>
        <v>0</v>
      </c>
      <c r="L34" s="232"/>
      <c r="M34" s="191">
        <f t="shared" si="0"/>
        <v>0</v>
      </c>
      <c r="N34" s="192">
        <f t="shared" si="1"/>
        <v>0</v>
      </c>
    </row>
    <row r="35" spans="1:14" x14ac:dyDescent="0.2">
      <c r="A35" s="215" t="s">
        <v>658</v>
      </c>
      <c r="B35" s="217">
        <f>Okt!AK40/0.041666667</f>
        <v>0</v>
      </c>
      <c r="C35" s="218">
        <f>Okt!AD40/0.041666667</f>
        <v>0</v>
      </c>
      <c r="D35" s="219">
        <f>IF(Okt!G48="x",Okt!AB51/0.041666667,0)</f>
        <v>0</v>
      </c>
      <c r="E35" s="223">
        <f>Okt!AK40/0.041666667</f>
        <v>0</v>
      </c>
      <c r="F35" s="224">
        <f>Okt!AF40/0.041666667</f>
        <v>0</v>
      </c>
      <c r="G35" s="224">
        <f>Okt!AG40/0.041666667</f>
        <v>0</v>
      </c>
      <c r="H35" s="225">
        <f>IF(Okt!G48="x",Okt!AB51/0.041666667,0)</f>
        <v>0</v>
      </c>
      <c r="I35" s="237">
        <f>(B35*Okt!AH43)+(C35*Okt!AH51)+(D35*Okt!AH44)</f>
        <v>0</v>
      </c>
      <c r="J35" s="239"/>
      <c r="K35" s="229">
        <f>(E35*Okt!AK43)+(F35*Okt!AK51)+(G35*Okt!AK52)+(H35*Okt!AK43)</f>
        <v>0</v>
      </c>
      <c r="L35" s="233"/>
      <c r="M35" s="191">
        <f t="shared" si="0"/>
        <v>0</v>
      </c>
      <c r="N35" s="192">
        <f t="shared" si="1"/>
        <v>0</v>
      </c>
    </row>
    <row r="36" spans="1:14" x14ac:dyDescent="0.2">
      <c r="A36" s="215" t="s">
        <v>659</v>
      </c>
      <c r="B36" s="217">
        <f>Nov!AK39/0.041666667</f>
        <v>0</v>
      </c>
      <c r="C36" s="218">
        <f>Nov!AD39/0.041666667</f>
        <v>0</v>
      </c>
      <c r="D36" s="219">
        <f>IF(Nov!G47="x",Nov!AB50/0.041666667,0)</f>
        <v>0</v>
      </c>
      <c r="E36" s="223">
        <f>Nov!AK39/0.041666667</f>
        <v>0</v>
      </c>
      <c r="F36" s="224">
        <f>Nov!AF39/0.041666667</f>
        <v>0</v>
      </c>
      <c r="G36" s="224">
        <f>Nov!AG39/0.041666667</f>
        <v>0</v>
      </c>
      <c r="H36" s="225">
        <f>IF(Nov!G47="x",Nov!AB50/0.041666667,0)</f>
        <v>0</v>
      </c>
      <c r="I36" s="237">
        <f>(B36*Nov!AH42)+(C36*Nov!AH50)+(D36*Nov!AH43)</f>
        <v>0</v>
      </c>
      <c r="J36" s="239"/>
      <c r="K36" s="229">
        <f>(E36*Nov!AK42)+(F36*Nov!AK50)+(G36*Nov!AK51)+(H36*Nov!AK42)</f>
        <v>0</v>
      </c>
      <c r="L36" s="234"/>
      <c r="M36" s="191">
        <f t="shared" si="0"/>
        <v>0</v>
      </c>
      <c r="N36" s="192">
        <f t="shared" si="1"/>
        <v>0</v>
      </c>
    </row>
    <row r="37" spans="1:14" x14ac:dyDescent="0.2">
      <c r="A37" s="216" t="s">
        <v>660</v>
      </c>
      <c r="B37" s="220">
        <f>Dec!AK40/0.041666667</f>
        <v>0</v>
      </c>
      <c r="C37" s="221">
        <f>Dec!AD40/0.041666667</f>
        <v>0</v>
      </c>
      <c r="D37" s="222">
        <f>IF(Dec!G48="x",Dec!AB49/0.041666667,0)</f>
        <v>0</v>
      </c>
      <c r="E37" s="226">
        <f>Dec!AK40/0.041666667</f>
        <v>0</v>
      </c>
      <c r="F37" s="227">
        <f>Dec!AF40/0.041666667</f>
        <v>0</v>
      </c>
      <c r="G37" s="227">
        <f>Dec!AG40/0.041666667</f>
        <v>0</v>
      </c>
      <c r="H37" s="228">
        <f>IF(Dec!G48="x",Dec!AB49/0.041666667,0)</f>
        <v>0</v>
      </c>
      <c r="I37" s="240">
        <f>(B37*Dec!AH44)+(C37*Dec!AH51)+(D37*Dec!AH45)</f>
        <v>0</v>
      </c>
      <c r="J37" s="241"/>
      <c r="K37" s="235">
        <f>(E37*Dec!AK44)+(F37*Dec!AK51)+(G37*Dec!AK52)+(H37*Dec!AK44)</f>
        <v>0</v>
      </c>
      <c r="L37" s="236"/>
      <c r="M37" s="194">
        <f t="shared" si="0"/>
        <v>0</v>
      </c>
      <c r="N37" s="193">
        <f t="shared" si="1"/>
        <v>0</v>
      </c>
    </row>
    <row r="39" spans="1:14" x14ac:dyDescent="0.2">
      <c r="K39" s="7" t="s">
        <v>661</v>
      </c>
      <c r="L39" s="187"/>
      <c r="M39" s="187"/>
      <c r="N39" s="188">
        <f>N37</f>
        <v>0</v>
      </c>
    </row>
    <row r="40" spans="1:14" x14ac:dyDescent="0.2">
      <c r="K40" s="7" t="s">
        <v>662</v>
      </c>
      <c r="L40" s="189"/>
      <c r="M40" s="187"/>
    </row>
    <row r="41" spans="1:14" x14ac:dyDescent="0.2">
      <c r="K41" s="7" t="s">
        <v>663</v>
      </c>
    </row>
  </sheetData>
  <sheetProtection algorithmName="SHA-512" hashValue="N4HmTK1flSuUzNm0P2IYExqIms3KluU3nxIOx6s0zbKYgjZ5xtF01p49ejpHHnoWOT0JfFpdfzSi9MaOVq9V0Q==" saltValue="MHds8VO2UiSmF1MtMqGOEw==" spinCount="100000" sheet="1" objects="1" scenarios="1"/>
  <phoneticPr fontId="0" type="noConversion"/>
  <pageMargins left="0.39370078740157483" right="0.39370078740157483" top="0.39370078740157483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2:T101"/>
  <sheetViews>
    <sheetView showGridLines="0" showRowColHeaders="0" tabSelected="1" zoomScaleNormal="100" workbookViewId="0">
      <pane ySplit="7" topLeftCell="A42" activePane="bottomLeft" state="frozen"/>
      <selection activeCell="O1" sqref="O1"/>
      <selection pane="bottomLeft" activeCell="I55" sqref="I55"/>
    </sheetView>
  </sheetViews>
  <sheetFormatPr defaultRowHeight="12.75" x14ac:dyDescent="0.2"/>
  <cols>
    <col min="1" max="1" width="5.28515625" style="2" customWidth="1"/>
    <col min="2" max="2" width="10.7109375" style="2" customWidth="1"/>
    <col min="3" max="3" width="6.7109375" style="2" customWidth="1"/>
    <col min="4" max="4" width="6.42578125" style="2" customWidth="1"/>
    <col min="5" max="5" width="5.140625" style="2" customWidth="1"/>
    <col min="6" max="6" width="11.85546875" style="2" customWidth="1"/>
    <col min="7" max="7" width="7.7109375" style="2" customWidth="1"/>
    <col min="8" max="9" width="9.140625" style="2" customWidth="1"/>
    <col min="10" max="10" width="7.85546875" style="2" customWidth="1"/>
    <col min="11" max="13" width="9.140625" style="2" customWidth="1"/>
  </cols>
  <sheetData>
    <row r="2" spans="1:20" x14ac:dyDescent="0.2">
      <c r="J2" s="195"/>
    </row>
    <row r="3" spans="1:20" x14ac:dyDescent="0.2">
      <c r="D3" s="69"/>
    </row>
    <row r="4" spans="1:20" x14ac:dyDescent="0.2">
      <c r="D4" s="69"/>
    </row>
    <row r="5" spans="1:20" x14ac:dyDescent="0.2">
      <c r="D5" s="69"/>
      <c r="G5" s="69"/>
    </row>
    <row r="6" spans="1:20" ht="15" x14ac:dyDescent="0.25">
      <c r="C6" s="271"/>
      <c r="E6" s="272" t="s">
        <v>714</v>
      </c>
      <c r="F6" s="4"/>
      <c r="G6" s="4"/>
    </row>
    <row r="7" spans="1:20" ht="14.25" customHeight="1" x14ac:dyDescent="0.2">
      <c r="A7" s="21"/>
      <c r="B7" s="4"/>
      <c r="E7" s="4"/>
      <c r="F7" s="4"/>
    </row>
    <row r="8" spans="1:20" x14ac:dyDescent="0.2">
      <c r="A8" s="21"/>
      <c r="B8" s="4" t="s">
        <v>36</v>
      </c>
      <c r="H8" s="92"/>
    </row>
    <row r="9" spans="1:20" x14ac:dyDescent="0.2">
      <c r="A9" s="21"/>
      <c r="B9" s="56" t="s">
        <v>37</v>
      </c>
    </row>
    <row r="10" spans="1:20" ht="13.5" thickBot="1" x14ac:dyDescent="0.25">
      <c r="A10" s="21"/>
      <c r="B10" s="4" t="s">
        <v>38</v>
      </c>
      <c r="C10" s="22"/>
      <c r="L10" s="60"/>
      <c r="M10" s="60"/>
      <c r="N10" s="60"/>
      <c r="O10" s="60"/>
      <c r="P10" s="60"/>
      <c r="Q10" s="60"/>
      <c r="R10" s="60"/>
      <c r="S10" s="60"/>
      <c r="T10" s="60"/>
    </row>
    <row r="11" spans="1:20" ht="13.5" thickTop="1" x14ac:dyDescent="0.2">
      <c r="A11" s="21"/>
      <c r="B11" s="4" t="s">
        <v>39</v>
      </c>
      <c r="C11" s="22"/>
      <c r="L11" s="294" t="s">
        <v>679</v>
      </c>
      <c r="N11" s="2"/>
      <c r="O11" s="2"/>
      <c r="P11" s="2"/>
      <c r="Q11" s="2"/>
      <c r="R11" s="2"/>
      <c r="S11" s="2"/>
      <c r="T11" s="2"/>
    </row>
    <row r="12" spans="1:20" x14ac:dyDescent="0.2">
      <c r="A12" s="21"/>
      <c r="B12" s="4"/>
      <c r="C12" s="23" t="s">
        <v>40</v>
      </c>
      <c r="D12" s="4" t="s">
        <v>41</v>
      </c>
      <c r="E12" s="4" t="s">
        <v>42</v>
      </c>
      <c r="F12" s="4" t="s">
        <v>43</v>
      </c>
      <c r="L12" s="61"/>
      <c r="N12" s="2"/>
      <c r="O12" s="2"/>
      <c r="P12" s="2"/>
      <c r="Q12" s="2"/>
      <c r="R12" s="2"/>
      <c r="S12" s="2"/>
      <c r="T12" s="2"/>
    </row>
    <row r="13" spans="1:20" x14ac:dyDescent="0.2">
      <c r="A13" s="21"/>
      <c r="C13" s="23" t="s">
        <v>44</v>
      </c>
      <c r="D13" s="24" t="s">
        <v>45</v>
      </c>
      <c r="E13" s="24" t="s">
        <v>44</v>
      </c>
      <c r="F13" s="24" t="s">
        <v>45</v>
      </c>
      <c r="L13" s="4" t="s">
        <v>686</v>
      </c>
      <c r="N13" s="2"/>
      <c r="O13" s="2"/>
      <c r="P13" s="2"/>
      <c r="Q13" s="2"/>
      <c r="R13" s="2"/>
      <c r="S13" s="293">
        <v>0.36</v>
      </c>
      <c r="T13" s="2"/>
    </row>
    <row r="14" spans="1:20" x14ac:dyDescent="0.2">
      <c r="A14" s="21"/>
      <c r="B14" s="24" t="s">
        <v>46</v>
      </c>
      <c r="C14" s="143">
        <v>0.33333333333333331</v>
      </c>
      <c r="D14" s="143">
        <v>0.5</v>
      </c>
      <c r="E14" s="143">
        <v>0.58333333333333337</v>
      </c>
      <c r="F14" s="143">
        <v>0.75</v>
      </c>
      <c r="L14" s="4" t="s">
        <v>688</v>
      </c>
      <c r="N14" s="2"/>
      <c r="O14" s="2"/>
      <c r="P14" s="2"/>
      <c r="Q14" s="2"/>
      <c r="R14" s="2"/>
      <c r="S14" s="2"/>
      <c r="T14" s="2"/>
    </row>
    <row r="15" spans="1:20" ht="13.5" thickBot="1" x14ac:dyDescent="0.25">
      <c r="A15" s="21"/>
      <c r="B15" s="24" t="s">
        <v>47</v>
      </c>
      <c r="C15" s="143">
        <v>0.58333333333333337</v>
      </c>
      <c r="D15" s="143">
        <v>0.91666666666666663</v>
      </c>
      <c r="E15" s="143"/>
      <c r="F15" s="143"/>
      <c r="G15" s="55" t="s">
        <v>48</v>
      </c>
      <c r="L15" s="60"/>
      <c r="M15" s="60"/>
      <c r="N15" s="60"/>
      <c r="O15" s="60"/>
      <c r="P15" s="60"/>
      <c r="Q15" s="60"/>
      <c r="R15" s="60"/>
      <c r="S15" s="60"/>
      <c r="T15" s="60"/>
    </row>
    <row r="16" spans="1:20" ht="13.5" thickTop="1" x14ac:dyDescent="0.2">
      <c r="A16" s="21"/>
      <c r="B16" s="24" t="s">
        <v>49</v>
      </c>
      <c r="C16" s="143"/>
      <c r="D16" s="143"/>
      <c r="E16" s="143">
        <v>0.91666666666666663</v>
      </c>
      <c r="F16" s="143">
        <v>1</v>
      </c>
      <c r="G16" s="56" t="s">
        <v>50</v>
      </c>
      <c r="L16" s="294" t="s">
        <v>98</v>
      </c>
      <c r="M16" s="4"/>
      <c r="N16" s="4"/>
      <c r="O16" s="4"/>
      <c r="P16" s="4"/>
      <c r="Q16" s="4"/>
      <c r="R16" s="4"/>
      <c r="S16" s="4"/>
      <c r="T16" s="4"/>
    </row>
    <row r="17" spans="1:20" x14ac:dyDescent="0.2">
      <c r="A17" s="21"/>
      <c r="B17" s="24" t="s">
        <v>51</v>
      </c>
      <c r="C17" s="143">
        <v>0</v>
      </c>
      <c r="D17" s="143">
        <v>0.29166666666666669</v>
      </c>
      <c r="E17" s="143"/>
      <c r="F17" s="143"/>
      <c r="G17" s="25"/>
      <c r="L17" s="4"/>
      <c r="M17" s="4"/>
      <c r="N17" s="4"/>
      <c r="O17" s="4"/>
      <c r="P17" s="4"/>
      <c r="Q17" s="4"/>
      <c r="R17" s="4"/>
      <c r="S17" s="4"/>
      <c r="T17" s="4"/>
    </row>
    <row r="18" spans="1:20" x14ac:dyDescent="0.2">
      <c r="B18" s="4" t="s">
        <v>52</v>
      </c>
      <c r="C18" s="25"/>
      <c r="D18" s="25"/>
      <c r="E18" s="25"/>
      <c r="F18" s="25"/>
      <c r="L18" s="4" t="s">
        <v>99</v>
      </c>
      <c r="M18" s="4"/>
      <c r="N18" s="4"/>
      <c r="O18" s="4"/>
      <c r="P18" s="4"/>
      <c r="Q18" s="4"/>
      <c r="R18" s="4"/>
      <c r="S18" s="4"/>
      <c r="T18" s="4"/>
    </row>
    <row r="19" spans="1:20" x14ac:dyDescent="0.2">
      <c r="B19" s="4" t="s">
        <v>53</v>
      </c>
      <c r="L19" s="4" t="s">
        <v>100</v>
      </c>
      <c r="M19" s="4"/>
      <c r="N19" s="4"/>
      <c r="O19" s="4"/>
      <c r="P19" s="4"/>
      <c r="Q19" s="4"/>
      <c r="R19" s="4"/>
      <c r="S19" s="4"/>
      <c r="T19" s="4"/>
    </row>
    <row r="20" spans="1:20" x14ac:dyDescent="0.2">
      <c r="B20" s="4" t="s">
        <v>54</v>
      </c>
      <c r="C20" s="4"/>
      <c r="D20" s="4"/>
      <c r="E20" s="4"/>
      <c r="F20" s="4"/>
      <c r="G20" s="4"/>
      <c r="H20" s="4"/>
      <c r="I20" s="4"/>
      <c r="L20" s="262" t="s">
        <v>101</v>
      </c>
      <c r="M20" s="262"/>
      <c r="N20" s="262"/>
      <c r="O20" s="262"/>
      <c r="P20" s="262"/>
      <c r="Q20" s="262"/>
      <c r="R20" s="262"/>
      <c r="S20" s="262"/>
      <c r="T20" s="262"/>
    </row>
    <row r="21" spans="1:20" ht="13.5" thickBot="1" x14ac:dyDescent="0.25">
      <c r="C21" s="4"/>
      <c r="D21" s="4"/>
      <c r="E21" s="4"/>
      <c r="F21" s="4"/>
      <c r="G21" s="4"/>
      <c r="H21" s="4"/>
      <c r="I21" s="4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3.5" thickTop="1" x14ac:dyDescent="0.2">
      <c r="B22" s="57" t="s">
        <v>55</v>
      </c>
      <c r="C22" s="4"/>
      <c r="D22" s="4"/>
      <c r="E22" s="4"/>
      <c r="F22" s="4"/>
      <c r="G22" s="4"/>
      <c r="H22" s="4"/>
      <c r="I22" s="148">
        <v>0</v>
      </c>
      <c r="L22" s="294" t="s">
        <v>676</v>
      </c>
      <c r="N22" s="2"/>
      <c r="O22" s="2"/>
      <c r="P22" s="2"/>
      <c r="Q22" s="2"/>
      <c r="R22" s="2"/>
      <c r="S22" s="2"/>
      <c r="T22" s="2"/>
    </row>
    <row r="23" spans="1:20" x14ac:dyDescent="0.2">
      <c r="B23" s="57" t="s">
        <v>56</v>
      </c>
      <c r="C23" s="4"/>
      <c r="D23" s="4"/>
      <c r="E23" s="4"/>
      <c r="F23" s="4"/>
      <c r="G23" s="4"/>
      <c r="H23" s="4"/>
      <c r="I23" s="121">
        <v>0</v>
      </c>
      <c r="J23" s="108"/>
      <c r="L23" s="4"/>
      <c r="N23" s="2"/>
      <c r="O23" s="2"/>
      <c r="P23" s="2"/>
      <c r="Q23" s="2"/>
      <c r="R23" s="2"/>
      <c r="S23" s="2"/>
      <c r="T23" s="2"/>
    </row>
    <row r="24" spans="1:20" x14ac:dyDescent="0.2">
      <c r="B24" s="4"/>
      <c r="C24" s="4"/>
      <c r="D24" s="4"/>
      <c r="E24" s="4"/>
      <c r="F24" s="4"/>
      <c r="G24" s="4"/>
      <c r="H24" s="4"/>
      <c r="I24" s="4"/>
      <c r="L24" s="4" t="s">
        <v>674</v>
      </c>
      <c r="N24" s="2"/>
      <c r="O24" s="2"/>
      <c r="P24" s="2"/>
      <c r="Q24" s="2"/>
      <c r="R24" s="2"/>
      <c r="S24" s="2"/>
      <c r="T24" s="2"/>
    </row>
    <row r="25" spans="1:20" x14ac:dyDescent="0.2">
      <c r="B25" s="78" t="s">
        <v>57</v>
      </c>
      <c r="C25" s="10"/>
      <c r="D25" s="10"/>
      <c r="E25" s="10"/>
      <c r="F25" s="85"/>
      <c r="G25" s="10"/>
      <c r="H25" s="10"/>
      <c r="I25" s="86"/>
      <c r="L25" s="4" t="s">
        <v>675</v>
      </c>
      <c r="N25" s="2"/>
      <c r="O25" s="2"/>
      <c r="P25" s="2"/>
      <c r="Q25" s="2"/>
      <c r="R25" s="2"/>
      <c r="S25" s="2"/>
      <c r="T25" s="2"/>
    </row>
    <row r="26" spans="1:20" x14ac:dyDescent="0.2">
      <c r="B26" s="16"/>
      <c r="C26" s="17"/>
      <c r="D26" s="93"/>
      <c r="E26" s="17"/>
      <c r="F26" s="87"/>
      <c r="G26" s="17"/>
      <c r="H26" s="17"/>
      <c r="I26" s="83"/>
      <c r="L26" s="4" t="s">
        <v>677</v>
      </c>
      <c r="N26" s="2"/>
      <c r="O26" s="2"/>
      <c r="P26" s="2"/>
      <c r="Q26" s="2"/>
      <c r="R26" s="2"/>
      <c r="S26" s="2"/>
      <c r="T26" s="2"/>
    </row>
    <row r="27" spans="1:20" x14ac:dyDescent="0.2">
      <c r="B27" s="15" t="s">
        <v>58</v>
      </c>
      <c r="I27" s="33"/>
      <c r="L27" s="4" t="s">
        <v>678</v>
      </c>
      <c r="N27" s="2"/>
      <c r="O27" s="2"/>
      <c r="P27" s="2"/>
      <c r="Q27" s="2"/>
      <c r="R27" s="2"/>
      <c r="S27" s="2"/>
      <c r="T27" s="2"/>
    </row>
    <row r="28" spans="1:20" x14ac:dyDescent="0.2">
      <c r="B28" s="32"/>
      <c r="C28" s="2" t="s">
        <v>59</v>
      </c>
      <c r="E28" s="35">
        <v>10</v>
      </c>
      <c r="F28" s="36" t="s">
        <v>60</v>
      </c>
      <c r="G28" s="37"/>
      <c r="H28" s="37">
        <v>0.33333333333333331</v>
      </c>
      <c r="I28" s="33"/>
      <c r="L28" s="306" t="s">
        <v>693</v>
      </c>
      <c r="O28" s="307" t="s">
        <v>694</v>
      </c>
    </row>
    <row r="29" spans="1:20" ht="13.5" thickBot="1" x14ac:dyDescent="0.25">
      <c r="B29" s="15" t="s">
        <v>61</v>
      </c>
      <c r="I29" s="33"/>
      <c r="L29" s="60"/>
      <c r="M29" s="60"/>
      <c r="N29" s="60"/>
      <c r="O29" s="60"/>
      <c r="P29" s="60"/>
      <c r="Q29" s="60"/>
      <c r="R29" s="60"/>
      <c r="S29" s="60"/>
      <c r="T29" s="60"/>
    </row>
    <row r="30" spans="1:20" ht="13.5" thickTop="1" x14ac:dyDescent="0.2">
      <c r="B30" s="15" t="s">
        <v>62</v>
      </c>
      <c r="I30" s="33"/>
      <c r="L30" s="294" t="s">
        <v>680</v>
      </c>
      <c r="N30" s="2"/>
      <c r="O30" s="2"/>
      <c r="P30" s="2"/>
      <c r="Q30" s="2"/>
      <c r="R30" s="2"/>
      <c r="S30" s="2"/>
      <c r="T30" s="2"/>
    </row>
    <row r="31" spans="1:20" x14ac:dyDescent="0.2">
      <c r="B31" s="258" t="s">
        <v>63</v>
      </c>
      <c r="C31" s="126" t="s">
        <v>64</v>
      </c>
      <c r="D31" s="4"/>
      <c r="E31" s="4"/>
      <c r="F31" s="4"/>
      <c r="G31" s="4"/>
      <c r="H31" s="4"/>
      <c r="I31" s="33"/>
    </row>
    <row r="32" spans="1:20" x14ac:dyDescent="0.2">
      <c r="B32" s="15"/>
      <c r="C32" s="126" t="s">
        <v>65</v>
      </c>
      <c r="D32" s="4"/>
      <c r="E32" s="126"/>
      <c r="F32" s="4"/>
      <c r="G32" s="4"/>
      <c r="H32" s="4"/>
      <c r="I32" s="33"/>
      <c r="J32" s="26"/>
      <c r="L32" s="4" t="s">
        <v>682</v>
      </c>
    </row>
    <row r="33" spans="2:20" x14ac:dyDescent="0.2">
      <c r="B33" s="38"/>
      <c r="C33" s="39"/>
      <c r="D33" s="39"/>
      <c r="E33" s="39"/>
      <c r="F33" s="39"/>
      <c r="G33" s="39"/>
      <c r="H33" s="39"/>
      <c r="I33" s="40"/>
      <c r="J33" s="26"/>
      <c r="L33" s="4" t="s">
        <v>683</v>
      </c>
    </row>
    <row r="34" spans="2:20" x14ac:dyDescent="0.2">
      <c r="B34" s="29" t="s">
        <v>66</v>
      </c>
      <c r="C34" s="30"/>
      <c r="D34" s="30"/>
      <c r="E34" s="30"/>
      <c r="F34" s="30"/>
      <c r="G34" s="30"/>
      <c r="H34" s="30"/>
      <c r="I34" s="31"/>
      <c r="J34" s="26"/>
      <c r="L34" s="4" t="s">
        <v>684</v>
      </c>
    </row>
    <row r="35" spans="2:20" x14ac:dyDescent="0.2">
      <c r="B35" s="32"/>
      <c r="E35" s="1" t="s">
        <v>67</v>
      </c>
      <c r="F35" s="1" t="s">
        <v>68</v>
      </c>
      <c r="H35" s="1" t="s">
        <v>69</v>
      </c>
      <c r="I35" s="33"/>
      <c r="L35" s="4" t="s">
        <v>685</v>
      </c>
    </row>
    <row r="36" spans="2:20" ht="13.5" thickBot="1" x14ac:dyDescent="0.25">
      <c r="B36" s="32"/>
      <c r="D36" s="34"/>
      <c r="E36" s="27">
        <v>1</v>
      </c>
      <c r="F36" s="82"/>
      <c r="G36" s="66" t="s">
        <v>70</v>
      </c>
      <c r="H36" s="156">
        <v>0.31666666666666665</v>
      </c>
      <c r="I36" s="154">
        <v>0.15833333333333333</v>
      </c>
      <c r="L36" s="60"/>
      <c r="M36" s="60"/>
      <c r="N36" s="60"/>
      <c r="O36" s="60"/>
      <c r="P36" s="60"/>
      <c r="Q36" s="60"/>
      <c r="R36" s="60"/>
      <c r="S36" s="60"/>
      <c r="T36" s="60"/>
    </row>
    <row r="37" spans="2:20" ht="13.5" thickTop="1" x14ac:dyDescent="0.2">
      <c r="B37" s="32"/>
      <c r="D37" s="1"/>
      <c r="E37" s="27">
        <v>2</v>
      </c>
      <c r="F37" s="82"/>
      <c r="G37" s="67" t="s">
        <v>71</v>
      </c>
      <c r="H37" s="157">
        <v>0.15833333333333333</v>
      </c>
      <c r="I37" s="154">
        <v>7.9166666666666663E-2</v>
      </c>
      <c r="L37" s="294" t="s">
        <v>681</v>
      </c>
    </row>
    <row r="38" spans="2:20" x14ac:dyDescent="0.2">
      <c r="B38" s="15" t="s">
        <v>668</v>
      </c>
      <c r="C38" s="4"/>
      <c r="D38" s="1"/>
      <c r="E38" s="27">
        <v>3</v>
      </c>
      <c r="F38" s="82"/>
      <c r="G38" s="68" t="s">
        <v>72</v>
      </c>
      <c r="H38" s="156">
        <v>0.31666666666666665</v>
      </c>
      <c r="I38" s="154">
        <v>0.15833333333333333</v>
      </c>
    </row>
    <row r="39" spans="2:20" x14ac:dyDescent="0.2">
      <c r="B39" s="15" t="s">
        <v>669</v>
      </c>
      <c r="C39" s="4"/>
      <c r="D39" s="1"/>
      <c r="E39" s="27">
        <v>4</v>
      </c>
      <c r="F39" s="82"/>
      <c r="G39" s="68" t="s">
        <v>73</v>
      </c>
      <c r="H39" s="156">
        <v>0.31666666666666665</v>
      </c>
      <c r="I39" s="154">
        <v>0.15833333333333333</v>
      </c>
      <c r="L39" s="4" t="s">
        <v>716</v>
      </c>
    </row>
    <row r="40" spans="2:20" x14ac:dyDescent="0.2">
      <c r="B40" s="15" t="s">
        <v>670</v>
      </c>
      <c r="C40" s="4"/>
      <c r="D40" s="1"/>
      <c r="E40" s="27">
        <v>5</v>
      </c>
      <c r="F40" s="82"/>
      <c r="G40" s="68" t="s">
        <v>74</v>
      </c>
      <c r="H40" s="158">
        <v>0.31666666666666665</v>
      </c>
      <c r="I40" s="153"/>
      <c r="L40" s="4" t="s">
        <v>689</v>
      </c>
    </row>
    <row r="41" spans="2:20" x14ac:dyDescent="0.2">
      <c r="B41" s="15"/>
      <c r="C41" s="4"/>
      <c r="D41" s="1"/>
      <c r="E41" s="27">
        <v>6</v>
      </c>
      <c r="F41" s="82"/>
      <c r="G41" s="67" t="s">
        <v>75</v>
      </c>
      <c r="H41" s="158">
        <v>0.15833333333333333</v>
      </c>
      <c r="I41" s="153"/>
      <c r="L41" s="4" t="s">
        <v>691</v>
      </c>
    </row>
    <row r="42" spans="2:20" x14ac:dyDescent="0.2">
      <c r="B42" s="15"/>
      <c r="C42" s="4"/>
      <c r="D42" s="1"/>
      <c r="E42" s="27">
        <v>7</v>
      </c>
      <c r="F42" s="82"/>
      <c r="G42" s="67" t="s">
        <v>76</v>
      </c>
      <c r="H42" s="156">
        <v>0.31666666666666665</v>
      </c>
      <c r="I42" s="153"/>
      <c r="L42" s="4" t="s">
        <v>692</v>
      </c>
    </row>
    <row r="43" spans="2:20" x14ac:dyDescent="0.2">
      <c r="B43" s="15"/>
      <c r="C43" s="4"/>
      <c r="D43" s="1"/>
      <c r="E43" s="27" t="s">
        <v>77</v>
      </c>
      <c r="F43" s="75"/>
      <c r="G43" s="76" t="s">
        <v>672</v>
      </c>
      <c r="H43" s="158">
        <v>0</v>
      </c>
      <c r="I43" s="153"/>
      <c r="L43" s="309"/>
    </row>
    <row r="44" spans="2:20" ht="13.5" thickBot="1" x14ac:dyDescent="0.25">
      <c r="B44" s="15" t="s">
        <v>78</v>
      </c>
      <c r="C44" s="4"/>
      <c r="D44" s="1"/>
      <c r="E44" s="27" t="s">
        <v>79</v>
      </c>
      <c r="F44" s="75"/>
      <c r="G44" s="76" t="s">
        <v>671</v>
      </c>
      <c r="H44" s="156">
        <v>0.31666666666666665</v>
      </c>
      <c r="I44" s="154">
        <v>0.15833333333333333</v>
      </c>
      <c r="L44" s="60"/>
      <c r="M44" s="60"/>
      <c r="N44" s="60"/>
      <c r="O44" s="60"/>
      <c r="P44" s="60"/>
      <c r="Q44" s="60"/>
      <c r="R44" s="60"/>
      <c r="S44" s="60"/>
      <c r="T44" s="60"/>
    </row>
    <row r="45" spans="2:20" ht="13.5" thickTop="1" x14ac:dyDescent="0.2">
      <c r="B45" s="15" t="s">
        <v>80</v>
      </c>
      <c r="C45" s="4"/>
      <c r="D45" s="4"/>
      <c r="E45" s="84" t="s">
        <v>81</v>
      </c>
      <c r="F45" s="79"/>
      <c r="G45" s="76" t="s">
        <v>82</v>
      </c>
      <c r="H45" s="159">
        <v>0</v>
      </c>
      <c r="I45" s="153"/>
      <c r="L45" s="294" t="s">
        <v>702</v>
      </c>
    </row>
    <row r="46" spans="2:20" x14ac:dyDescent="0.2">
      <c r="B46" s="15" t="s">
        <v>83</v>
      </c>
      <c r="C46" s="4"/>
      <c r="D46" s="4"/>
      <c r="E46" s="84" t="s">
        <v>84</v>
      </c>
      <c r="F46" s="79"/>
      <c r="G46" s="76" t="s">
        <v>85</v>
      </c>
      <c r="H46" s="276">
        <v>0</v>
      </c>
      <c r="I46" s="153"/>
    </row>
    <row r="47" spans="2:20" x14ac:dyDescent="0.2">
      <c r="B47" s="15" t="s">
        <v>86</v>
      </c>
      <c r="C47" s="4"/>
      <c r="D47" s="4"/>
      <c r="E47" s="242">
        <v>8</v>
      </c>
      <c r="F47" s="94"/>
      <c r="G47" s="95"/>
      <c r="H47" s="160"/>
      <c r="I47" s="153"/>
      <c r="L47" s="4" t="s">
        <v>697</v>
      </c>
    </row>
    <row r="48" spans="2:20" x14ac:dyDescent="0.2">
      <c r="B48" s="15" t="s">
        <v>87</v>
      </c>
      <c r="C48" s="4"/>
      <c r="D48" s="4"/>
      <c r="E48" s="242">
        <v>9</v>
      </c>
      <c r="F48" s="94"/>
      <c r="G48" s="95"/>
      <c r="H48" s="160"/>
      <c r="I48" s="153"/>
      <c r="L48" s="4" t="s">
        <v>698</v>
      </c>
    </row>
    <row r="49" spans="2:20" x14ac:dyDescent="0.2">
      <c r="B49" s="15"/>
      <c r="C49" s="4"/>
      <c r="D49" s="4"/>
      <c r="E49" s="243">
        <v>10</v>
      </c>
      <c r="F49" s="96"/>
      <c r="G49" s="97"/>
      <c r="H49" s="161"/>
      <c r="I49" s="153"/>
      <c r="L49" s="4" t="s">
        <v>703</v>
      </c>
    </row>
    <row r="50" spans="2:20" x14ac:dyDescent="0.2">
      <c r="B50" s="15" t="s">
        <v>88</v>
      </c>
      <c r="C50" s="4"/>
      <c r="D50" s="4"/>
      <c r="E50" s="244">
        <v>11</v>
      </c>
      <c r="F50" s="109"/>
      <c r="G50" s="110"/>
      <c r="H50" s="162"/>
      <c r="I50" s="153"/>
      <c r="L50" s="307" t="s">
        <v>704</v>
      </c>
      <c r="M50" s="4"/>
      <c r="N50" s="4"/>
      <c r="O50" s="4"/>
      <c r="P50" s="4"/>
      <c r="Q50" s="4"/>
    </row>
    <row r="51" spans="2:20" x14ac:dyDescent="0.2">
      <c r="B51" s="15" t="s">
        <v>89</v>
      </c>
      <c r="C51" s="4"/>
      <c r="D51" s="4"/>
      <c r="E51" s="242">
        <v>12</v>
      </c>
      <c r="F51" s="94"/>
      <c r="G51" s="95"/>
      <c r="H51" s="160"/>
      <c r="I51" s="153"/>
      <c r="N51" s="57"/>
      <c r="O51" s="177"/>
      <c r="P51" s="332"/>
      <c r="Q51" s="4"/>
    </row>
    <row r="52" spans="2:20" x14ac:dyDescent="0.2">
      <c r="B52" s="15" t="s">
        <v>90</v>
      </c>
      <c r="C52" s="4"/>
      <c r="D52" s="4"/>
      <c r="E52" s="245">
        <v>13</v>
      </c>
      <c r="F52" s="111"/>
      <c r="G52" s="112"/>
      <c r="H52" s="163"/>
      <c r="I52" s="153"/>
      <c r="L52" s="4" t="s">
        <v>699</v>
      </c>
      <c r="N52" s="57"/>
      <c r="O52" s="177"/>
      <c r="P52" s="332"/>
    </row>
    <row r="53" spans="2:20" ht="13.5" thickBot="1" x14ac:dyDescent="0.25">
      <c r="B53" s="12" t="s">
        <v>91</v>
      </c>
      <c r="C53" s="13"/>
      <c r="D53" s="13"/>
      <c r="E53" s="246">
        <v>14</v>
      </c>
      <c r="F53" s="113"/>
      <c r="G53" s="114"/>
      <c r="H53" s="164"/>
      <c r="I53" s="155"/>
      <c r="J53" s="60"/>
    </row>
    <row r="54" spans="2:20" ht="14.25" thickTop="1" thickBot="1" x14ac:dyDescent="0.25">
      <c r="B54" s="57" t="s">
        <v>92</v>
      </c>
      <c r="F54" s="4" t="s">
        <v>93</v>
      </c>
      <c r="L54" s="60"/>
      <c r="M54" s="60"/>
      <c r="N54" s="60"/>
      <c r="O54" s="60"/>
      <c r="P54" s="60"/>
      <c r="Q54" s="60"/>
      <c r="R54" s="60"/>
      <c r="S54" s="60"/>
      <c r="T54" s="60"/>
    </row>
    <row r="55" spans="2:20" ht="13.5" thickTop="1" x14ac:dyDescent="0.2">
      <c r="F55" s="4" t="s">
        <v>715</v>
      </c>
      <c r="I55" s="53"/>
      <c r="L55" s="294"/>
    </row>
    <row r="56" spans="2:20" x14ac:dyDescent="0.2">
      <c r="B56" s="4" t="s">
        <v>94</v>
      </c>
      <c r="L56" s="4" t="s">
        <v>673</v>
      </c>
    </row>
    <row r="57" spans="2:20" x14ac:dyDescent="0.2">
      <c r="B57" s="4" t="s">
        <v>95</v>
      </c>
      <c r="L57" s="4"/>
    </row>
    <row r="58" spans="2:20" x14ac:dyDescent="0.2">
      <c r="B58" s="4" t="s">
        <v>96</v>
      </c>
      <c r="L58" s="4"/>
    </row>
    <row r="59" spans="2:20" x14ac:dyDescent="0.2">
      <c r="B59" s="4" t="s">
        <v>97</v>
      </c>
      <c r="L59" s="4"/>
    </row>
    <row r="60" spans="2:20" x14ac:dyDescent="0.2">
      <c r="B60" s="4"/>
      <c r="L60" s="4"/>
    </row>
    <row r="73" spans="1:13" s="7" customFormat="1" ht="11.25" x14ac:dyDescent="0.2">
      <c r="A73" s="4"/>
      <c r="K73" s="4"/>
      <c r="L73" s="4"/>
      <c r="M73" s="4"/>
    </row>
    <row r="74" spans="1:13" s="7" customFormat="1" ht="11.25" x14ac:dyDescent="0.2">
      <c r="A74" s="4"/>
      <c r="K74" s="4"/>
      <c r="L74" s="4"/>
      <c r="M74" s="4"/>
    </row>
    <row r="75" spans="1:13" s="7" customFormat="1" ht="11.25" x14ac:dyDescent="0.2">
      <c r="A75" s="4"/>
      <c r="K75" s="4"/>
      <c r="L75" s="4"/>
      <c r="M75" s="4"/>
    </row>
    <row r="76" spans="1:13" s="7" customFormat="1" ht="11.25" x14ac:dyDescent="0.2">
      <c r="A76" s="4"/>
      <c r="K76" s="4"/>
      <c r="L76" s="4"/>
      <c r="M76" s="4"/>
    </row>
    <row r="77" spans="1:13" s="7" customFormat="1" ht="11.25" x14ac:dyDescent="0.2">
      <c r="A77" s="4"/>
      <c r="K77" s="262"/>
      <c r="L77" s="4"/>
      <c r="M77" s="4"/>
    </row>
    <row r="78" spans="1:13" s="7" customFormat="1" ht="11.25" x14ac:dyDescent="0.2">
      <c r="A78" s="4"/>
      <c r="K78" s="262"/>
      <c r="L78" s="4"/>
      <c r="M78" s="4"/>
    </row>
    <row r="79" spans="1:13" s="7" customFormat="1" ht="11.25" x14ac:dyDescent="0.2">
      <c r="A79" s="4"/>
      <c r="B79" s="262"/>
      <c r="C79" s="262"/>
      <c r="D79" s="262"/>
      <c r="E79" s="262" t="s">
        <v>102</v>
      </c>
      <c r="F79" s="262"/>
      <c r="G79" s="262"/>
      <c r="H79" s="262" t="s">
        <v>103</v>
      </c>
      <c r="I79" s="262"/>
      <c r="J79" s="262"/>
      <c r="K79" s="262"/>
      <c r="L79" s="4"/>
      <c r="M79" s="4"/>
    </row>
    <row r="80" spans="1:13" s="7" customFormat="1" ht="14.1" customHeight="1" x14ac:dyDescent="0.2">
      <c r="A80" s="4"/>
      <c r="B80" s="262"/>
      <c r="C80" s="262"/>
      <c r="D80" s="262"/>
      <c r="E80" s="262"/>
      <c r="F80" s="263">
        <v>7420</v>
      </c>
      <c r="G80" s="262"/>
      <c r="H80" s="264">
        <v>0</v>
      </c>
      <c r="I80" s="262" t="s">
        <v>104</v>
      </c>
      <c r="J80" s="262"/>
      <c r="K80" s="262"/>
      <c r="L80" s="4"/>
      <c r="M80" s="4"/>
    </row>
    <row r="81" spans="1:13" s="7" customFormat="1" ht="14.1" customHeight="1" x14ac:dyDescent="0.2">
      <c r="A81" s="4"/>
      <c r="B81" s="262"/>
      <c r="C81" s="262"/>
      <c r="D81" s="262"/>
      <c r="E81" s="262"/>
      <c r="F81" s="263">
        <v>7420</v>
      </c>
      <c r="G81" s="262"/>
      <c r="H81" s="264">
        <v>23.22</v>
      </c>
      <c r="I81" s="262" t="s">
        <v>104</v>
      </c>
      <c r="J81" s="262"/>
      <c r="K81" s="262"/>
      <c r="L81" s="4"/>
      <c r="M81" s="4"/>
    </row>
    <row r="82" spans="1:13" s="7" customFormat="1" ht="14.1" customHeight="1" x14ac:dyDescent="0.2">
      <c r="A82" s="4"/>
      <c r="B82" s="262"/>
      <c r="C82" s="262"/>
      <c r="D82" s="262"/>
      <c r="E82" s="262"/>
      <c r="F82" s="263">
        <v>9150.01</v>
      </c>
      <c r="G82" s="262"/>
      <c r="H82" s="264">
        <v>25.23</v>
      </c>
      <c r="I82" s="262" t="s">
        <v>104</v>
      </c>
      <c r="J82" s="262"/>
      <c r="K82" s="262"/>
      <c r="L82" s="4"/>
      <c r="M82" s="4"/>
    </row>
    <row r="83" spans="1:13" s="7" customFormat="1" ht="14.1" customHeight="1" x14ac:dyDescent="0.2">
      <c r="A83" s="4"/>
      <c r="B83" s="262"/>
      <c r="C83" s="262"/>
      <c r="D83" s="262"/>
      <c r="E83" s="262"/>
      <c r="F83" s="263">
        <v>11305.01</v>
      </c>
      <c r="G83" s="262"/>
      <c r="H83" s="264">
        <v>30.28</v>
      </c>
      <c r="I83" s="262" t="s">
        <v>104</v>
      </c>
      <c r="J83" s="262"/>
      <c r="K83" s="262"/>
      <c r="L83" s="4"/>
      <c r="M83" s="4"/>
    </row>
    <row r="84" spans="1:13" s="7" customFormat="1" ht="14.1" customHeight="1" x14ac:dyDescent="0.2">
      <c r="A84" s="4"/>
      <c r="B84" s="262"/>
      <c r="C84" s="262"/>
      <c r="D84" s="262"/>
      <c r="E84" s="262"/>
      <c r="F84" s="263">
        <v>13405.01</v>
      </c>
      <c r="G84" s="262"/>
      <c r="H84" s="264">
        <v>35.33</v>
      </c>
      <c r="I84" s="262" t="s">
        <v>104</v>
      </c>
      <c r="J84" s="262"/>
      <c r="K84" s="262"/>
      <c r="L84" s="4"/>
      <c r="M84" s="4"/>
    </row>
    <row r="85" spans="1:13" s="7" customFormat="1" ht="14.1" customHeight="1" x14ac:dyDescent="0.2">
      <c r="A85" s="4"/>
      <c r="B85" s="262"/>
      <c r="C85" s="262"/>
      <c r="D85" s="262"/>
      <c r="E85" s="262"/>
      <c r="F85" s="263">
        <v>15625.01</v>
      </c>
      <c r="G85" s="262"/>
      <c r="H85" s="264">
        <v>38.36</v>
      </c>
      <c r="I85" s="262" t="s">
        <v>104</v>
      </c>
      <c r="J85" s="262"/>
      <c r="K85" s="262"/>
      <c r="L85" s="4"/>
      <c r="M85" s="4"/>
    </row>
    <row r="86" spans="1:13" s="7" customFormat="1" ht="14.1" customHeight="1" x14ac:dyDescent="0.2">
      <c r="A86" s="4"/>
      <c r="B86" s="262"/>
      <c r="C86" s="262"/>
      <c r="D86" s="262"/>
      <c r="E86" s="262"/>
      <c r="F86" s="263">
        <v>17840.009999999998</v>
      </c>
      <c r="G86" s="262"/>
      <c r="H86" s="264">
        <v>40.380000000000003</v>
      </c>
      <c r="I86" s="262" t="s">
        <v>104</v>
      </c>
      <c r="J86" s="262"/>
      <c r="K86" s="262"/>
      <c r="L86" s="4"/>
      <c r="M86" s="4"/>
    </row>
    <row r="87" spans="1:13" s="7" customFormat="1" ht="14.1" customHeight="1" x14ac:dyDescent="0.2">
      <c r="A87" s="4"/>
      <c r="B87" s="262"/>
      <c r="C87" s="262"/>
      <c r="D87" s="262"/>
      <c r="E87" s="262"/>
      <c r="F87" s="263">
        <v>22130.01</v>
      </c>
      <c r="G87" s="262"/>
      <c r="H87" s="264">
        <v>43.41</v>
      </c>
      <c r="I87" s="262" t="s">
        <v>104</v>
      </c>
      <c r="J87" s="262"/>
      <c r="K87" s="262"/>
      <c r="L87" s="4"/>
      <c r="M87" s="4"/>
    </row>
    <row r="88" spans="1:13" s="7" customFormat="1" ht="14.1" customHeight="1" x14ac:dyDescent="0.2">
      <c r="A88" s="4"/>
      <c r="B88" s="262"/>
      <c r="C88" s="262"/>
      <c r="D88" s="262"/>
      <c r="E88" s="262"/>
      <c r="F88" s="263">
        <v>24275.01</v>
      </c>
      <c r="G88" s="262"/>
      <c r="H88" s="264">
        <v>46.44</v>
      </c>
      <c r="I88" s="262" t="s">
        <v>104</v>
      </c>
      <c r="J88" s="262"/>
      <c r="K88" s="262"/>
      <c r="L88" s="4"/>
      <c r="M88" s="4"/>
    </row>
    <row r="89" spans="1:13" s="7" customFormat="1" ht="14.1" customHeight="1" x14ac:dyDescent="0.2">
      <c r="A89" s="4"/>
      <c r="B89" s="262"/>
      <c r="C89" s="265"/>
      <c r="D89" s="266"/>
      <c r="E89" s="266"/>
      <c r="F89" s="267">
        <v>32870.01</v>
      </c>
      <c r="G89" s="268"/>
      <c r="H89" s="267">
        <v>51.48</v>
      </c>
      <c r="I89" s="262" t="s">
        <v>104</v>
      </c>
      <c r="J89" s="269"/>
      <c r="K89" s="262"/>
      <c r="L89" s="4"/>
      <c r="M89" s="4"/>
    </row>
    <row r="90" spans="1:13" s="7" customFormat="1" ht="14.1" customHeight="1" x14ac:dyDescent="0.2">
      <c r="A90" s="4"/>
      <c r="B90" s="262"/>
      <c r="C90" s="262"/>
      <c r="D90" s="262"/>
      <c r="E90" s="262"/>
      <c r="F90" s="264">
        <v>43615.01</v>
      </c>
      <c r="G90" s="270"/>
      <c r="H90" s="264">
        <v>53.5</v>
      </c>
      <c r="I90" s="262" t="s">
        <v>104</v>
      </c>
      <c r="J90" s="270"/>
      <c r="K90" s="262"/>
      <c r="L90" s="4"/>
      <c r="M90" s="4"/>
    </row>
    <row r="91" spans="1:13" s="7" customFormat="1" ht="14.1" customHeight="1" x14ac:dyDescent="0.2">
      <c r="A91" s="4"/>
      <c r="B91" s="262"/>
      <c r="C91" s="262"/>
      <c r="D91" s="262"/>
      <c r="E91" s="262"/>
      <c r="F91" s="264">
        <v>43615.01</v>
      </c>
      <c r="G91" s="270"/>
      <c r="H91" s="264">
        <v>53.5</v>
      </c>
      <c r="I91" s="262" t="s">
        <v>104</v>
      </c>
      <c r="J91" s="270"/>
      <c r="K91" s="262"/>
      <c r="L91" s="4"/>
      <c r="M91" s="4"/>
    </row>
    <row r="92" spans="1:13" s="7" customFormat="1" ht="14.1" customHeight="1" x14ac:dyDescent="0.2">
      <c r="A92" s="4"/>
      <c r="B92" s="4"/>
      <c r="C92" s="4"/>
      <c r="D92" s="126"/>
      <c r="E92" s="4"/>
      <c r="F92" s="127"/>
      <c r="G92" s="127"/>
      <c r="H92" s="127"/>
      <c r="I92" s="127"/>
      <c r="J92" s="25"/>
      <c r="K92" s="4"/>
      <c r="L92" s="4"/>
      <c r="M92" s="4"/>
    </row>
    <row r="93" spans="1:13" s="7" customFormat="1" ht="14.1" customHeight="1" x14ac:dyDescent="0.2">
      <c r="A93" s="4"/>
      <c r="B93" s="4"/>
      <c r="C93" s="4"/>
      <c r="D93" s="126"/>
      <c r="E93" s="4"/>
      <c r="F93" s="127"/>
      <c r="G93" s="127"/>
      <c r="H93" s="127"/>
      <c r="I93" s="127"/>
      <c r="J93" s="25"/>
      <c r="K93" s="4"/>
      <c r="L93" s="4"/>
      <c r="M93" s="4"/>
    </row>
    <row r="94" spans="1:13" s="7" customFormat="1" ht="14.1" customHeight="1" x14ac:dyDescent="0.2">
      <c r="A94" s="4"/>
      <c r="B94" s="4"/>
      <c r="C94" s="4"/>
      <c r="D94" s="126"/>
      <c r="E94" s="4"/>
      <c r="F94" s="127"/>
      <c r="G94" s="127"/>
      <c r="H94" s="128"/>
      <c r="I94" s="128"/>
      <c r="J94" s="129"/>
      <c r="K94" s="4"/>
      <c r="L94" s="4"/>
      <c r="M94" s="4"/>
    </row>
    <row r="95" spans="1:13" s="7" customFormat="1" ht="14.1" customHeight="1" x14ac:dyDescent="0.2">
      <c r="A95" s="4"/>
      <c r="B95" s="4"/>
      <c r="C95" s="4"/>
      <c r="D95" s="126"/>
      <c r="E95" s="4"/>
      <c r="F95" s="127"/>
      <c r="G95" s="127"/>
      <c r="H95" s="128"/>
      <c r="I95" s="128"/>
      <c r="J95" s="129"/>
      <c r="K95" s="4"/>
      <c r="L95" s="4"/>
      <c r="M95" s="4"/>
    </row>
    <row r="96" spans="1:13" s="7" customFormat="1" ht="14.1" customHeight="1" x14ac:dyDescent="0.2">
      <c r="A96" s="4"/>
      <c r="B96" s="4"/>
      <c r="C96" s="4"/>
      <c r="D96" s="126"/>
      <c r="E96" s="4"/>
      <c r="F96" s="127"/>
      <c r="G96" s="127"/>
      <c r="H96" s="128"/>
      <c r="I96" s="128"/>
      <c r="J96" s="129"/>
      <c r="K96" s="4"/>
      <c r="L96" s="4"/>
      <c r="M96" s="4"/>
    </row>
    <row r="97" spans="1:13" s="7" customFormat="1" ht="14.1" customHeight="1" x14ac:dyDescent="0.2">
      <c r="A97" s="4"/>
      <c r="B97" s="4"/>
      <c r="C97" s="4"/>
      <c r="D97" s="126"/>
      <c r="E97" s="4"/>
      <c r="F97" s="127"/>
      <c r="G97" s="127"/>
      <c r="H97" s="128"/>
      <c r="I97" s="128"/>
      <c r="J97" s="129"/>
      <c r="K97" s="4"/>
      <c r="L97" s="4"/>
      <c r="M97" s="4"/>
    </row>
    <row r="98" spans="1:13" s="7" customFormat="1" ht="14.1" customHeight="1" x14ac:dyDescent="0.2">
      <c r="A98" s="4"/>
      <c r="B98" s="4"/>
      <c r="C98" s="4"/>
      <c r="D98" s="126"/>
      <c r="E98" s="4"/>
      <c r="F98" s="127"/>
      <c r="G98" s="127"/>
      <c r="H98" s="128"/>
      <c r="I98" s="128"/>
      <c r="J98" s="129"/>
      <c r="K98" s="4"/>
      <c r="L98" s="4"/>
      <c r="M98" s="4"/>
    </row>
    <row r="99" spans="1:13" s="7" customFormat="1" ht="14.1" customHeight="1" x14ac:dyDescent="0.2">
      <c r="A99" s="4"/>
      <c r="B99" s="4"/>
      <c r="C99" s="4"/>
      <c r="D99" s="126"/>
      <c r="E99" s="4"/>
      <c r="F99" s="127"/>
      <c r="G99" s="127"/>
      <c r="H99" s="128"/>
      <c r="I99" s="128"/>
      <c r="J99" s="129"/>
      <c r="K99" s="4"/>
      <c r="L99" s="4"/>
      <c r="M99" s="4"/>
    </row>
    <row r="100" spans="1:13" s="7" customFormat="1" ht="14.1" customHeight="1" x14ac:dyDescent="0.2">
      <c r="A100" s="4"/>
      <c r="B100" s="4"/>
      <c r="C100" s="4"/>
      <c r="D100" s="126"/>
      <c r="E100" s="4"/>
      <c r="F100" s="127"/>
      <c r="G100" s="127"/>
      <c r="H100" s="128"/>
      <c r="I100" s="128"/>
      <c r="J100" s="129"/>
      <c r="K100" s="4"/>
      <c r="L100" s="4"/>
      <c r="M100" s="4"/>
    </row>
    <row r="101" spans="1:13" s="7" customFormat="1" ht="14.1" customHeight="1" x14ac:dyDescent="0.2">
      <c r="A101" s="4"/>
      <c r="B101" s="4"/>
      <c r="C101" s="4"/>
      <c r="D101" s="126"/>
      <c r="E101" s="4"/>
      <c r="F101" s="127"/>
      <c r="G101" s="127"/>
      <c r="H101" s="128"/>
      <c r="I101" s="128"/>
      <c r="J101" s="129"/>
      <c r="K101" s="4"/>
      <c r="L101" s="4"/>
      <c r="M101" s="4"/>
    </row>
  </sheetData>
  <sheetProtection algorithmName="SHA-512" hashValue="gJLEvSkAz6Kwg6AC2wZMQMX1RvRVPv4OWlBjSAnGsr29lQvGnlOD6S/lytpUGvxvKZfSdJPy3VX3QjvdO8+7xg==" saltValue="pj74PglLykBDWpndSfVt7g==" spinCount="100000" sheet="1" objects="1" scenarios="1"/>
  <protectedRanges>
    <protectedRange sqref="M13:S51 L13:L49 L52 L54:S55" name="Bereik1"/>
  </protectedRanges>
  <phoneticPr fontId="0" type="noConversion"/>
  <hyperlinks>
    <hyperlink ref="O28" r:id="rId1" xr:uid="{B4BC8B26-8FE2-4E8E-9ACC-7757FC8AFEE8}"/>
    <hyperlink ref="L50" r:id="rId2" xr:uid="{46E8B32D-7140-4861-A71E-893BF529359F}"/>
  </hyperlinks>
  <pageMargins left="0.39370078740157483" right="0.39370078740157483" top="0.39370078740157483" bottom="0.39370078740157483" header="0.51181102362204722" footer="0.51181102362204722"/>
  <pageSetup paperSize="9" scale="79" orientation="portrait" horizontalDpi="300" verticalDpi="300" r:id="rId3"/>
  <headerFooter alignWithMargins="0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Drop Down 1">
              <controlPr defaultSize="0" autoLine="0" autoPict="0">
                <anchor moveWithCells="1">
                  <from>
                    <xdr:col>13</xdr:col>
                    <xdr:colOff>9525</xdr:colOff>
                    <xdr:row>50</xdr:row>
                    <xdr:rowOff>152400</xdr:rowOff>
                  </from>
                  <to>
                    <xdr:col>15</xdr:col>
                    <xdr:colOff>104775</xdr:colOff>
                    <xdr:row>52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pageSetUpPr fitToPage="1"/>
  </sheetPr>
  <dimension ref="A1:XFC59"/>
  <sheetViews>
    <sheetView showGridLines="0" showRowColHeaders="0" topLeftCell="B1" zoomScaleNormal="100" workbookViewId="0">
      <pane ySplit="6" topLeftCell="A7" activePane="bottomLeft" state="frozen"/>
      <selection activeCell="O1" sqref="O1"/>
      <selection pane="bottomLeft" activeCell="H40" sqref="H40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3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7" style="2" bestFit="1" customWidth="1"/>
    <col min="14" max="14" width="5.7109375" style="2" customWidth="1"/>
    <col min="15" max="15" width="1.85546875" style="5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9" style="2" hidden="1" customWidth="1"/>
    <col min="33" max="33" width="5.140625" style="2" hidden="1" customWidth="1"/>
    <col min="34" max="34" width="15.5703125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10.4257812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6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.5703125" style="101" hidden="1" customWidth="1"/>
    <col min="55" max="16383" width="9.140625" hidden="1"/>
    <col min="16384" max="16384" width="0.42578125" hidden="1" customWidth="1"/>
  </cols>
  <sheetData>
    <row r="1" spans="1:55" x14ac:dyDescent="0.2">
      <c r="C1" s="168"/>
      <c r="H1" s="169"/>
      <c r="N1" s="4"/>
      <c r="X1" s="24"/>
      <c r="Y1" s="1"/>
      <c r="Z1" s="1"/>
      <c r="AA1" s="1"/>
      <c r="AD1" s="2">
        <v>0.29166666666666669</v>
      </c>
      <c r="AO1" s="77"/>
      <c r="AQ1" s="1" t="s">
        <v>105</v>
      </c>
      <c r="AR1" s="1" t="s">
        <v>106</v>
      </c>
      <c r="AS1" s="1" t="s">
        <v>107</v>
      </c>
      <c r="AT1" s="1" t="s">
        <v>108</v>
      </c>
      <c r="BB1" s="4"/>
      <c r="BC1" s="2"/>
    </row>
    <row r="2" spans="1:55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BB2" s="4"/>
      <c r="BC2" s="2"/>
    </row>
    <row r="3" spans="1:55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X3" s="37">
        <v>0</v>
      </c>
      <c r="BB3" s="4"/>
      <c r="BC3" s="2"/>
    </row>
    <row r="4" spans="1:55" x14ac:dyDescent="0.2">
      <c r="C4" s="361" t="str">
        <f>Data!E6</f>
        <v>Uurzakboekje 2026</v>
      </c>
      <c r="I4" s="4" t="s">
        <v>110</v>
      </c>
      <c r="J4" s="4"/>
      <c r="K4" s="4"/>
      <c r="L4" s="4"/>
      <c r="M4" s="259">
        <f>Data!$I$23</f>
        <v>0</v>
      </c>
      <c r="O4" s="2"/>
      <c r="P4" s="4" t="s">
        <v>111</v>
      </c>
      <c r="Q4" s="4"/>
      <c r="R4" s="4"/>
      <c r="S4" s="4"/>
      <c r="T4" s="4"/>
      <c r="U4" s="122">
        <f>Data!$I$22</f>
        <v>0</v>
      </c>
      <c r="AV4" s="58"/>
      <c r="AW4" s="58" t="s">
        <v>112</v>
      </c>
      <c r="AX4" s="151" t="s">
        <v>113</v>
      </c>
      <c r="AY4" s="174"/>
      <c r="BB4" s="4"/>
      <c r="BC4" s="2"/>
    </row>
    <row r="5" spans="1:55" ht="12.75" customHeight="1" x14ac:dyDescent="0.2">
      <c r="B5" s="343"/>
      <c r="C5" s="344"/>
      <c r="D5" s="345" t="s">
        <v>114</v>
      </c>
      <c r="E5" s="345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2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149" t="s">
        <v>118</v>
      </c>
      <c r="AX5" s="172"/>
      <c r="AY5" s="4"/>
      <c r="BB5" s="2"/>
    </row>
    <row r="6" spans="1:55" s="2" customFormat="1" x14ac:dyDescent="0.2">
      <c r="B6" s="354" t="s">
        <v>135</v>
      </c>
      <c r="C6" s="355" t="s">
        <v>136</v>
      </c>
      <c r="D6" s="355" t="s">
        <v>137</v>
      </c>
      <c r="E6" s="356" t="s">
        <v>138</v>
      </c>
      <c r="F6" s="355" t="s">
        <v>44</v>
      </c>
      <c r="G6" s="355" t="s">
        <v>139</v>
      </c>
      <c r="H6" s="355" t="s">
        <v>44</v>
      </c>
      <c r="I6" s="355" t="s">
        <v>139</v>
      </c>
      <c r="J6" s="355" t="s">
        <v>44</v>
      </c>
      <c r="K6" s="355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59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AZ6" s="4"/>
      <c r="BA6" s="57" t="s">
        <v>166</v>
      </c>
    </row>
    <row r="7" spans="1:55" s="399" customFormat="1" x14ac:dyDescent="0.2">
      <c r="A7" s="384"/>
      <c r="B7" s="385" t="s">
        <v>167</v>
      </c>
      <c r="C7" s="386" t="s">
        <v>168</v>
      </c>
      <c r="D7" s="387" t="s">
        <v>79</v>
      </c>
      <c r="E7" s="387"/>
      <c r="F7" s="388"/>
      <c r="G7" s="388"/>
      <c r="H7" s="388"/>
      <c r="I7" s="388"/>
      <c r="J7" s="388"/>
      <c r="K7" s="388"/>
      <c r="L7" s="389">
        <f>(G7-F7)+(I7-H7)+(K7-J7)+AI7+AN7</f>
        <v>0.31666666666666665</v>
      </c>
      <c r="M7" s="389">
        <f>L7+M4</f>
        <v>0.31666666666666665</v>
      </c>
      <c r="N7" s="389">
        <f t="shared" ref="N7:N37" si="0">AU7</f>
        <v>0.31666666666666665</v>
      </c>
      <c r="O7" s="410" t="str">
        <f>IF((M7-N7-U$4)&lt;0,"-","+")</f>
        <v>+</v>
      </c>
      <c r="P7" s="392">
        <f>ABS(M7-N7-$U$4)</f>
        <v>0</v>
      </c>
      <c r="Q7" s="387">
        <f t="shared" ref="Q7:Q37" si="1">AP7</f>
        <v>0</v>
      </c>
      <c r="R7" s="387">
        <f t="shared" ref="R7:R37" si="2">AQ7</f>
        <v>0</v>
      </c>
      <c r="S7" s="387">
        <f t="shared" ref="S7:S37" si="3">AR7</f>
        <v>0</v>
      </c>
      <c r="T7" s="387">
        <f t="shared" ref="T7:T37" si="4">AO7</f>
        <v>0</v>
      </c>
      <c r="U7" s="389">
        <f>IF(D7="F",L7,0)</f>
        <v>0</v>
      </c>
      <c r="V7" s="389">
        <f>AE7</f>
        <v>0</v>
      </c>
      <c r="W7" s="389">
        <f>AF7</f>
        <v>0</v>
      </c>
      <c r="X7" s="387"/>
      <c r="Y7" s="388"/>
      <c r="Z7" s="388"/>
      <c r="AA7" s="393">
        <f t="shared" ref="AA7:AA37" si="5">IF((G7&gt;$AD$3)*AND(F7&lt;=$AD$3),G7-$AD$3,)+IF(F7&gt;$AD$3,G7-F7,)+IF((I7&gt;$AD$3)*AND(H7&lt;=$AD$3),I7-$AD$3,)+IF((H7&gt;$AD$3),I7-H7,)+IF((K7&gt;$AD$3)*AND(J7&lt;=$AD$3),K7-$AD$3,)+IF((J7&gt;$AD$3),K7-J7,)</f>
        <v>0</v>
      </c>
      <c r="AB7" s="393">
        <f t="shared" ref="AB7:AB37" si="6">IF((G7&gt;=$AD$1)*AND(F7&lt;$AD$1),($AD$1)-F7,)+IF((G7&lt;$AD$1),G7-F7,)+IF((I7&gt;=$AD$1)*AND(H7&lt;$AD$1),($AD$1)-H7,)+IF((I7&lt;$AD$1),I7-H7,)+IF((K7&gt;=$AD$1)*AND(J7&lt;$AD$1),($AD$1)-J7,)+IF((K7&lt;$AD$1),K7-J7,)</f>
        <v>0</v>
      </c>
      <c r="AC7" s="393">
        <f>AA7+AB7</f>
        <v>0</v>
      </c>
      <c r="AD7" s="393">
        <f t="shared" ref="AD7:AD37" si="7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94">
        <f>AA7-AD7</f>
        <v>0</v>
      </c>
      <c r="AF7" s="393">
        <f>AH7+AD7</f>
        <v>0</v>
      </c>
      <c r="AG7" s="394">
        <f>AC7</f>
        <v>0</v>
      </c>
      <c r="AH7" s="393">
        <f t="shared" ref="AH7:AH37" si="8">IF((G7&gt;=$AD$2)*AND(F7&lt;$AD$2),($AD$2)-F7,)+IF((G7&lt;$AD$2),G7-F7,)+IF((I7&gt;=$AD$2)*AND(H7&lt;$AD$2),($AD$2)-H7,)+IF((I7&lt;$AD$2),I7-H7,)+IF((K7&gt;=$AD$2)*AND(J7&lt;$AD$2),($AD$2)-J7,)+IF((K7&lt;$AD$2),K7-J7,)</f>
        <v>0</v>
      </c>
      <c r="AI7" s="395">
        <f>IF((D7&lt;&gt;""),VLOOKUP(D7,Data!$E$36:$H$53,4),)</f>
        <v>0.31666666666666665</v>
      </c>
      <c r="AJ7" s="395">
        <f t="shared" ref="AJ7:AJ35" si="9">IF(U7&gt;0,L7,0)</f>
        <v>0</v>
      </c>
      <c r="AK7" s="396" t="str">
        <f t="shared" ref="AK7:AK37" si="10">IF(L7&gt;0,D7,0)</f>
        <v>FV</v>
      </c>
      <c r="AL7" s="396">
        <f t="shared" ref="AL7:AL37" si="11">IF((E7="X")*OR(E7="x"),1,0)</f>
        <v>0</v>
      </c>
      <c r="AM7" s="397">
        <f t="shared" ref="AM7:AM37" si="12">IF(D7="F",1,)+IF((D7="VB")*AND(((G7-F7)+(I7-H7)+(K7-J7))&gt;0),1,0)</f>
        <v>0</v>
      </c>
      <c r="AN7" s="395">
        <f t="shared" ref="AN7:AN37" si="13">IF((D7="VB")*AND(((G7-F7)+(I7-H7)+(K7-J7))=0),"07:36",0)</f>
        <v>0</v>
      </c>
      <c r="AO7" s="398">
        <f t="shared" ref="AO7:AO37" si="14">IF((F7&lt;=$AQ$2)*AND(G7&gt;=$AQ$3),1,)+IF((H7&lt;=$AQ$2)*AND(I7&gt;=$AQ$3),1,)+IF((J7&lt;=$AQ$2)*AND(K7&gt;=$AQ$3),1,)</f>
        <v>0</v>
      </c>
      <c r="AP7" s="398">
        <f t="shared" ref="AP7:AP37" si="15">IF((F7&lt;=$AR$2)*AND(G7&gt;=$AR$3),1,)+IF((H7&lt;=$AR$2)*AND(I7&gt;=$AR$3),1,)+IF((J7&lt;=$AR$2)*AND(K7&gt;=$AR$3),1,)</f>
        <v>0</v>
      </c>
      <c r="AQ7" s="398">
        <f t="shared" ref="AQ7:AQ37" si="16">IF((F7&lt;=$AS$2)*AND(G7&gt;=$AS$3),1,)+IF((H7&lt;=$AS$2)*AND(I7&gt;=$AS$3),1,)+IF((J7&lt;=$AS$2)*AND(K7&gt;=$AS$3),1,)</f>
        <v>0</v>
      </c>
      <c r="AR7" s="398">
        <f t="shared" ref="AR7:AR37" si="17">IF((F7=$AT$2)*AND(G7&gt;=$AT$3),1,)+IF((H7=$AT$2)*AND(I7&gt;=$AT$3),1,)+IF((J7=$AT$2)*AND(K7&gt;=$AT$3),1,)</f>
        <v>0</v>
      </c>
      <c r="AS7" s="396">
        <f t="shared" ref="AS7:AS37" si="18">IF((E7="MO")*OR(E7="mo"),1,0)</f>
        <v>0</v>
      </c>
      <c r="AT7" s="396">
        <f t="shared" ref="AT7:AT37" si="19">IF((E7="M")*OR(E7="m"),1,0)</f>
        <v>0</v>
      </c>
      <c r="AU7" s="388">
        <f>IF(Data!$H$8="x",AV7,AW7)</f>
        <v>0.31666666666666665</v>
      </c>
      <c r="AV7" s="388">
        <f t="shared" ref="AV7:AV37" si="20">AW7/2</f>
        <v>0.15833333333333333</v>
      </c>
      <c r="AW7" s="389">
        <f>IF(D7="V",AX3,(AX3+"07:36"))</f>
        <v>0.31666666666666665</v>
      </c>
      <c r="AX7" s="385" t="str">
        <f t="shared" ref="AX7:AX37" si="21">B7</f>
        <v>Do</v>
      </c>
      <c r="AY7" s="396">
        <f>IF((R40="HAU1")*AND(R41&lt;&gt;""),VLOOKUP(R41,Barema!$Q$5:$R$31,2),)</f>
        <v>0</v>
      </c>
      <c r="AZ7" s="396" t="s">
        <v>0</v>
      </c>
      <c r="BA7" s="102"/>
      <c r="BB7" s="384"/>
    </row>
    <row r="8" spans="1:55" s="434" customFormat="1" x14ac:dyDescent="0.2">
      <c r="A8" s="420"/>
      <c r="B8" s="421" t="s">
        <v>169</v>
      </c>
      <c r="C8" s="422" t="s">
        <v>170</v>
      </c>
      <c r="D8" s="423" t="s">
        <v>84</v>
      </c>
      <c r="E8" s="423"/>
      <c r="F8" s="424"/>
      <c r="G8" s="424"/>
      <c r="H8" s="424"/>
      <c r="I8" s="424"/>
      <c r="J8" s="424"/>
      <c r="K8" s="424"/>
      <c r="L8" s="425">
        <f>(G8-F8)+(I8-H8)+(K8-J8)+AI8+AN8</f>
        <v>0.31666666666666665</v>
      </c>
      <c r="M8" s="425">
        <f>M7+L8</f>
        <v>0.6333333333333333</v>
      </c>
      <c r="N8" s="425">
        <f t="shared" si="0"/>
        <v>0.6333333333333333</v>
      </c>
      <c r="O8" s="426" t="str">
        <f t="shared" ref="O8:O37" si="22">IF((M8-N8-U$4)&lt;0,"-","+")</f>
        <v>+</v>
      </c>
      <c r="P8" s="427">
        <f t="shared" ref="P8:P37" si="23">ABS(M8-N8-$U$4)</f>
        <v>0</v>
      </c>
      <c r="Q8" s="423">
        <f t="shared" si="1"/>
        <v>0</v>
      </c>
      <c r="R8" s="423">
        <f t="shared" si="2"/>
        <v>0</v>
      </c>
      <c r="S8" s="423">
        <f t="shared" si="3"/>
        <v>0</v>
      </c>
      <c r="T8" s="423">
        <f t="shared" si="4"/>
        <v>0</v>
      </c>
      <c r="U8" s="425">
        <f>IF(D8="F",L8,0)</f>
        <v>0</v>
      </c>
      <c r="V8" s="425">
        <f t="shared" ref="V8:V37" si="24">AE8</f>
        <v>0</v>
      </c>
      <c r="W8" s="425">
        <f t="shared" ref="W8:W37" si="25">AF8</f>
        <v>0</v>
      </c>
      <c r="X8" s="423"/>
      <c r="Y8" s="424"/>
      <c r="Z8" s="424"/>
      <c r="AA8" s="428">
        <f t="shared" si="5"/>
        <v>0</v>
      </c>
      <c r="AB8" s="428">
        <f t="shared" si="6"/>
        <v>0</v>
      </c>
      <c r="AC8" s="428">
        <f t="shared" ref="AC8:AC37" si="26">AA8+AB8</f>
        <v>0</v>
      </c>
      <c r="AD8" s="428">
        <f t="shared" si="7"/>
        <v>0</v>
      </c>
      <c r="AE8" s="429">
        <f t="shared" ref="AE8:AE37" si="27">AA8-AD8</f>
        <v>0</v>
      </c>
      <c r="AF8" s="428">
        <f t="shared" ref="AF8:AF37" si="28">AH8+AD8</f>
        <v>0</v>
      </c>
      <c r="AG8" s="429">
        <f t="shared" ref="AG8:AG37" si="29">AC8</f>
        <v>0</v>
      </c>
      <c r="AH8" s="428">
        <f t="shared" si="8"/>
        <v>0</v>
      </c>
      <c r="AI8" s="430">
        <f>IF((D8&lt;&gt;""),VLOOKUP(D8,Data!$E$36:$H$53,4),)</f>
        <v>0</v>
      </c>
      <c r="AJ8" s="430">
        <f t="shared" si="9"/>
        <v>0</v>
      </c>
      <c r="AK8" s="431" t="str">
        <f t="shared" si="10"/>
        <v>VB</v>
      </c>
      <c r="AL8" s="431">
        <f t="shared" si="11"/>
        <v>0</v>
      </c>
      <c r="AM8" s="432">
        <f t="shared" si="12"/>
        <v>0</v>
      </c>
      <c r="AN8" s="430" t="str">
        <f t="shared" si="13"/>
        <v>07:36</v>
      </c>
      <c r="AO8" s="433">
        <f t="shared" si="14"/>
        <v>0</v>
      </c>
      <c r="AP8" s="433">
        <f t="shared" si="15"/>
        <v>0</v>
      </c>
      <c r="AQ8" s="433">
        <f t="shared" si="16"/>
        <v>0</v>
      </c>
      <c r="AR8" s="433">
        <f t="shared" si="17"/>
        <v>0</v>
      </c>
      <c r="AS8" s="431">
        <f t="shared" si="18"/>
        <v>0</v>
      </c>
      <c r="AT8" s="431">
        <f t="shared" si="19"/>
        <v>0</v>
      </c>
      <c r="AU8" s="424">
        <f>IF(Data!$H$8="x",AV8,AW8)</f>
        <v>0.6333333333333333</v>
      </c>
      <c r="AV8" s="424">
        <f t="shared" si="20"/>
        <v>0.31666666666666665</v>
      </c>
      <c r="AW8" s="425">
        <f>IF(D8="V",AW7,(AW7+"07:36"))</f>
        <v>0.6333333333333333</v>
      </c>
      <c r="AX8" s="421" t="str">
        <f t="shared" si="21"/>
        <v>Vr</v>
      </c>
      <c r="AY8" s="431">
        <f>IF((R40="HAU2")*AND(R41&lt;&gt;""),VLOOKUP(R41,Barema!$T$5:$U$31,2),)</f>
        <v>0</v>
      </c>
      <c r="AZ8" s="431" t="s">
        <v>1</v>
      </c>
      <c r="BA8" s="102"/>
      <c r="BB8" s="420"/>
    </row>
    <row r="9" spans="1:55" s="376" customFormat="1" x14ac:dyDescent="0.2">
      <c r="A9" s="374"/>
      <c r="B9" s="362" t="s">
        <v>171</v>
      </c>
      <c r="C9" s="363" t="s">
        <v>172</v>
      </c>
      <c r="D9" s="364"/>
      <c r="E9" s="364"/>
      <c r="F9" s="365"/>
      <c r="G9" s="365"/>
      <c r="H9" s="365"/>
      <c r="I9" s="365"/>
      <c r="J9" s="365"/>
      <c r="K9" s="365"/>
      <c r="L9" s="366">
        <f>(G9-F9)+(I9-H9)+(K9-J9)</f>
        <v>0</v>
      </c>
      <c r="M9" s="366">
        <f t="shared" ref="M9:M14" si="30">M8+L9</f>
        <v>0.6333333333333333</v>
      </c>
      <c r="N9" s="366">
        <f t="shared" si="0"/>
        <v>0.6333333333333333</v>
      </c>
      <c r="O9" s="411" t="str">
        <f t="shared" si="22"/>
        <v>+</v>
      </c>
      <c r="P9" s="367">
        <f t="shared" si="23"/>
        <v>0</v>
      </c>
      <c r="Q9" s="364">
        <f t="shared" si="1"/>
        <v>0</v>
      </c>
      <c r="R9" s="364">
        <f t="shared" si="2"/>
        <v>0</v>
      </c>
      <c r="S9" s="364">
        <f t="shared" si="3"/>
        <v>0</v>
      </c>
      <c r="T9" s="364">
        <f t="shared" si="4"/>
        <v>0</v>
      </c>
      <c r="U9" s="366">
        <f>L9</f>
        <v>0</v>
      </c>
      <c r="V9" s="366">
        <f t="shared" si="24"/>
        <v>0</v>
      </c>
      <c r="W9" s="366">
        <f t="shared" si="25"/>
        <v>0</v>
      </c>
      <c r="X9" s="364"/>
      <c r="Y9" s="365"/>
      <c r="Z9" s="365"/>
      <c r="AA9" s="368">
        <f t="shared" si="5"/>
        <v>0</v>
      </c>
      <c r="AB9" s="368">
        <f t="shared" si="6"/>
        <v>0</v>
      </c>
      <c r="AC9" s="368">
        <f t="shared" si="26"/>
        <v>0</v>
      </c>
      <c r="AD9" s="368">
        <f t="shared" si="7"/>
        <v>0</v>
      </c>
      <c r="AE9" s="369">
        <f t="shared" si="27"/>
        <v>0</v>
      </c>
      <c r="AF9" s="368">
        <f t="shared" si="28"/>
        <v>0</v>
      </c>
      <c r="AG9" s="369">
        <f t="shared" si="29"/>
        <v>0</v>
      </c>
      <c r="AH9" s="368">
        <f t="shared" si="8"/>
        <v>0</v>
      </c>
      <c r="AI9" s="370">
        <f>IF((D9&lt;&gt;""),VLOOKUP(D9,Data!$E$36:$H$53,4),)</f>
        <v>0</v>
      </c>
      <c r="AJ9" s="370">
        <f t="shared" si="9"/>
        <v>0</v>
      </c>
      <c r="AK9" s="371">
        <f t="shared" si="10"/>
        <v>0</v>
      </c>
      <c r="AL9" s="371">
        <f t="shared" si="11"/>
        <v>0</v>
      </c>
      <c r="AM9" s="372">
        <f t="shared" si="12"/>
        <v>0</v>
      </c>
      <c r="AN9" s="370">
        <f t="shared" si="13"/>
        <v>0</v>
      </c>
      <c r="AO9" s="373">
        <f t="shared" si="14"/>
        <v>0</v>
      </c>
      <c r="AP9" s="373">
        <f t="shared" si="15"/>
        <v>0</v>
      </c>
      <c r="AQ9" s="373">
        <f t="shared" si="16"/>
        <v>0</v>
      </c>
      <c r="AR9" s="373">
        <f t="shared" si="17"/>
        <v>0</v>
      </c>
      <c r="AS9" s="371">
        <f t="shared" si="18"/>
        <v>0</v>
      </c>
      <c r="AT9" s="371">
        <f t="shared" si="19"/>
        <v>0</v>
      </c>
      <c r="AU9" s="365">
        <f>IF(Data!$H$8="x",AV9,AW9)</f>
        <v>0.6333333333333333</v>
      </c>
      <c r="AV9" s="365">
        <f t="shared" si="20"/>
        <v>0.31666666666666665</v>
      </c>
      <c r="AW9" s="366">
        <f>AW8</f>
        <v>0.6333333333333333</v>
      </c>
      <c r="AX9" s="362" t="str">
        <f t="shared" si="21"/>
        <v>Za</v>
      </c>
      <c r="AY9" s="371">
        <f>IF((R40="HAU3")*AND(R41&lt;&gt;""),VLOOKUP(R41,Barema!$W$5:$X$31,2),)</f>
        <v>0</v>
      </c>
      <c r="AZ9" s="371" t="s">
        <v>2</v>
      </c>
      <c r="BA9" s="439"/>
      <c r="BB9" s="374"/>
    </row>
    <row r="10" spans="1:55" s="376" customFormat="1" x14ac:dyDescent="0.2">
      <c r="A10" s="374"/>
      <c r="B10" s="362" t="s">
        <v>173</v>
      </c>
      <c r="C10" s="363" t="s">
        <v>174</v>
      </c>
      <c r="D10" s="364"/>
      <c r="E10" s="364"/>
      <c r="F10" s="365"/>
      <c r="G10" s="365"/>
      <c r="H10" s="365"/>
      <c r="I10" s="365"/>
      <c r="J10" s="365"/>
      <c r="K10" s="365"/>
      <c r="L10" s="366">
        <f>(G10-F10)+(I10-H10)+(K10-J10)</f>
        <v>0</v>
      </c>
      <c r="M10" s="366">
        <f t="shared" si="30"/>
        <v>0.6333333333333333</v>
      </c>
      <c r="N10" s="366">
        <f t="shared" si="0"/>
        <v>0.6333333333333333</v>
      </c>
      <c r="O10" s="411" t="str">
        <f t="shared" si="22"/>
        <v>+</v>
      </c>
      <c r="P10" s="367">
        <f t="shared" si="23"/>
        <v>0</v>
      </c>
      <c r="Q10" s="364">
        <f t="shared" si="1"/>
        <v>0</v>
      </c>
      <c r="R10" s="364">
        <f t="shared" si="2"/>
        <v>0</v>
      </c>
      <c r="S10" s="364">
        <f t="shared" si="3"/>
        <v>0</v>
      </c>
      <c r="T10" s="364">
        <f t="shared" si="4"/>
        <v>0</v>
      </c>
      <c r="U10" s="366">
        <f>L10</f>
        <v>0</v>
      </c>
      <c r="V10" s="366">
        <f t="shared" si="24"/>
        <v>0</v>
      </c>
      <c r="W10" s="366">
        <f t="shared" si="25"/>
        <v>0</v>
      </c>
      <c r="X10" s="364"/>
      <c r="Y10" s="365"/>
      <c r="Z10" s="365"/>
      <c r="AA10" s="368">
        <f t="shared" si="5"/>
        <v>0</v>
      </c>
      <c r="AB10" s="368">
        <f t="shared" si="6"/>
        <v>0</v>
      </c>
      <c r="AC10" s="368">
        <f t="shared" si="26"/>
        <v>0</v>
      </c>
      <c r="AD10" s="368">
        <f t="shared" si="7"/>
        <v>0</v>
      </c>
      <c r="AE10" s="369">
        <f t="shared" si="27"/>
        <v>0</v>
      </c>
      <c r="AF10" s="368">
        <f t="shared" si="28"/>
        <v>0</v>
      </c>
      <c r="AG10" s="369">
        <f t="shared" si="29"/>
        <v>0</v>
      </c>
      <c r="AH10" s="368">
        <f t="shared" si="8"/>
        <v>0</v>
      </c>
      <c r="AI10" s="370">
        <f>IF((D10&lt;&gt;""),VLOOKUP(D10,Data!$E$36:$H$53,4),)</f>
        <v>0</v>
      </c>
      <c r="AJ10" s="370">
        <f t="shared" si="9"/>
        <v>0</v>
      </c>
      <c r="AK10" s="371">
        <f t="shared" si="10"/>
        <v>0</v>
      </c>
      <c r="AL10" s="371">
        <f t="shared" si="11"/>
        <v>0</v>
      </c>
      <c r="AM10" s="372">
        <f t="shared" si="12"/>
        <v>0</v>
      </c>
      <c r="AN10" s="370">
        <f t="shared" si="13"/>
        <v>0</v>
      </c>
      <c r="AO10" s="373">
        <f t="shared" si="14"/>
        <v>0</v>
      </c>
      <c r="AP10" s="373">
        <f t="shared" si="15"/>
        <v>0</v>
      </c>
      <c r="AQ10" s="373">
        <f t="shared" si="16"/>
        <v>0</v>
      </c>
      <c r="AR10" s="373">
        <f t="shared" si="17"/>
        <v>0</v>
      </c>
      <c r="AS10" s="371">
        <f t="shared" si="18"/>
        <v>0</v>
      </c>
      <c r="AT10" s="371">
        <f t="shared" si="19"/>
        <v>0</v>
      </c>
      <c r="AU10" s="365">
        <f>IF(Data!$H$8="x",AV10,AW10)</f>
        <v>0.6333333333333333</v>
      </c>
      <c r="AV10" s="365">
        <f t="shared" si="20"/>
        <v>0.31666666666666665</v>
      </c>
      <c r="AW10" s="366">
        <f>AW9</f>
        <v>0.6333333333333333</v>
      </c>
      <c r="AX10" s="362" t="str">
        <f t="shared" si="21"/>
        <v>Zo</v>
      </c>
      <c r="AY10" s="371">
        <f>IF((R40="B1")*AND(R41&lt;&gt;""),VLOOKUP(R41,Barema!$Z$5:$AA$31,2),)</f>
        <v>0</v>
      </c>
      <c r="AZ10" s="371" t="s">
        <v>3</v>
      </c>
      <c r="BA10" s="439"/>
      <c r="BB10" s="374"/>
    </row>
    <row r="11" spans="1:55" s="378" customFormat="1" x14ac:dyDescent="0.2">
      <c r="A11" s="309"/>
      <c r="B11" s="6" t="s">
        <v>175</v>
      </c>
      <c r="C11" s="311" t="s">
        <v>176</v>
      </c>
      <c r="D11" s="312"/>
      <c r="E11" s="312"/>
      <c r="F11" s="274"/>
      <c r="G11" s="274"/>
      <c r="H11" s="310"/>
      <c r="I11" s="310"/>
      <c r="J11" s="310"/>
      <c r="K11" s="310"/>
      <c r="L11" s="313">
        <f t="shared" ref="L11:L15" si="31">(G11-F11)+(I11-H11)+(K11-J11)+AI11+AN11</f>
        <v>0</v>
      </c>
      <c r="M11" s="313">
        <f t="shared" si="30"/>
        <v>0.6333333333333333</v>
      </c>
      <c r="N11" s="313">
        <f t="shared" si="0"/>
        <v>0.95</v>
      </c>
      <c r="O11" s="75" t="str">
        <f t="shared" si="22"/>
        <v>-</v>
      </c>
      <c r="P11" s="314">
        <f t="shared" si="23"/>
        <v>0.31666666666666665</v>
      </c>
      <c r="Q11" s="312">
        <f t="shared" si="1"/>
        <v>0</v>
      </c>
      <c r="R11" s="312">
        <f t="shared" si="2"/>
        <v>0</v>
      </c>
      <c r="S11" s="312">
        <f t="shared" si="3"/>
        <v>0</v>
      </c>
      <c r="T11" s="312">
        <f t="shared" si="4"/>
        <v>0</v>
      </c>
      <c r="U11" s="313">
        <f>IF(D11="F",L11,0)</f>
        <v>0</v>
      </c>
      <c r="V11" s="313">
        <f t="shared" si="24"/>
        <v>0</v>
      </c>
      <c r="W11" s="313">
        <f t="shared" si="25"/>
        <v>0</v>
      </c>
      <c r="X11" s="312"/>
      <c r="Y11" s="310"/>
      <c r="Z11" s="310"/>
      <c r="AA11" s="315">
        <f t="shared" si="5"/>
        <v>0</v>
      </c>
      <c r="AB11" s="315">
        <f t="shared" si="6"/>
        <v>0</v>
      </c>
      <c r="AC11" s="315">
        <f t="shared" si="26"/>
        <v>0</v>
      </c>
      <c r="AD11" s="315">
        <f t="shared" si="7"/>
        <v>0</v>
      </c>
      <c r="AE11" s="316">
        <f t="shared" si="27"/>
        <v>0</v>
      </c>
      <c r="AF11" s="315">
        <f t="shared" si="28"/>
        <v>0</v>
      </c>
      <c r="AG11" s="316">
        <f t="shared" si="29"/>
        <v>0</v>
      </c>
      <c r="AH11" s="315">
        <f t="shared" si="8"/>
        <v>0</v>
      </c>
      <c r="AI11" s="123">
        <f>IF((D11&lt;&gt;""),VLOOKUP(D11,Data!$E$36:$H$53,4),)</f>
        <v>0</v>
      </c>
      <c r="AJ11" s="123">
        <f t="shared" si="9"/>
        <v>0</v>
      </c>
      <c r="AK11" s="4">
        <f t="shared" si="10"/>
        <v>0</v>
      </c>
      <c r="AL11" s="4">
        <f t="shared" si="11"/>
        <v>0</v>
      </c>
      <c r="AM11" s="1">
        <f t="shared" si="12"/>
        <v>0</v>
      </c>
      <c r="AN11" s="123">
        <f t="shared" si="13"/>
        <v>0</v>
      </c>
      <c r="AO11" s="317">
        <f t="shared" si="14"/>
        <v>0</v>
      </c>
      <c r="AP11" s="317">
        <f t="shared" si="15"/>
        <v>0</v>
      </c>
      <c r="AQ11" s="317">
        <f t="shared" si="16"/>
        <v>0</v>
      </c>
      <c r="AR11" s="317">
        <f t="shared" si="17"/>
        <v>0</v>
      </c>
      <c r="AS11" s="4">
        <f t="shared" si="18"/>
        <v>0</v>
      </c>
      <c r="AT11" s="4">
        <f t="shared" si="19"/>
        <v>0</v>
      </c>
      <c r="AU11" s="310">
        <f>IF(Data!$H$8="x",AV11,AW11)</f>
        <v>0.95</v>
      </c>
      <c r="AV11" s="310">
        <f t="shared" si="20"/>
        <v>0.47499999999999998</v>
      </c>
      <c r="AW11" s="313">
        <f>IF(D11="V",AW10,(AW10+"07:36"))</f>
        <v>0.95</v>
      </c>
      <c r="AX11" s="6" t="str">
        <f t="shared" si="21"/>
        <v>Ma</v>
      </c>
      <c r="AY11" s="4">
        <f>IF((R40="B2")*AND(R41&lt;&gt;""),VLOOKUP(R41,Barema!$AC$5:$AD$31,2),)</f>
        <v>0</v>
      </c>
      <c r="AZ11" s="4" t="s">
        <v>4</v>
      </c>
      <c r="BA11" s="102"/>
      <c r="BB11" s="309"/>
    </row>
    <row r="12" spans="1:55" s="335" customFormat="1" x14ac:dyDescent="0.2">
      <c r="A12" s="302"/>
      <c r="B12" s="273" t="s">
        <v>177</v>
      </c>
      <c r="C12" s="311" t="s">
        <v>178</v>
      </c>
      <c r="D12" s="312"/>
      <c r="E12" s="312"/>
      <c r="F12" s="274"/>
      <c r="G12" s="274"/>
      <c r="H12" s="310"/>
      <c r="I12" s="310"/>
      <c r="J12" s="310"/>
      <c r="K12" s="310"/>
      <c r="L12" s="313">
        <f t="shared" si="31"/>
        <v>0</v>
      </c>
      <c r="M12" s="313">
        <f t="shared" si="30"/>
        <v>0.6333333333333333</v>
      </c>
      <c r="N12" s="313">
        <f t="shared" si="0"/>
        <v>1.2666666666666666</v>
      </c>
      <c r="O12" s="75" t="str">
        <f t="shared" si="22"/>
        <v>-</v>
      </c>
      <c r="P12" s="314">
        <f t="shared" si="23"/>
        <v>0.6333333333333333</v>
      </c>
      <c r="Q12" s="312">
        <f t="shared" si="1"/>
        <v>0</v>
      </c>
      <c r="R12" s="312">
        <f t="shared" si="2"/>
        <v>0</v>
      </c>
      <c r="S12" s="312">
        <f t="shared" si="3"/>
        <v>0</v>
      </c>
      <c r="T12" s="312">
        <f t="shared" si="4"/>
        <v>0</v>
      </c>
      <c r="U12" s="313">
        <f>IF(D12="F",L12,0)</f>
        <v>0</v>
      </c>
      <c r="V12" s="313">
        <f t="shared" si="24"/>
        <v>0</v>
      </c>
      <c r="W12" s="313">
        <f t="shared" si="25"/>
        <v>0</v>
      </c>
      <c r="X12" s="312"/>
      <c r="Y12" s="310"/>
      <c r="Z12" s="310"/>
      <c r="AA12" s="315">
        <f t="shared" si="5"/>
        <v>0</v>
      </c>
      <c r="AB12" s="315">
        <f t="shared" si="6"/>
        <v>0</v>
      </c>
      <c r="AC12" s="315">
        <f t="shared" si="26"/>
        <v>0</v>
      </c>
      <c r="AD12" s="315">
        <f t="shared" si="7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8"/>
        <v>0</v>
      </c>
      <c r="AI12" s="123">
        <f>IF((D12&lt;&gt;""),VLOOKUP(D12,Data!$E$36:$H$53,4),)</f>
        <v>0</v>
      </c>
      <c r="AJ12" s="123">
        <f t="shared" si="9"/>
        <v>0</v>
      </c>
      <c r="AK12" s="4">
        <f t="shared" si="10"/>
        <v>0</v>
      </c>
      <c r="AL12" s="4">
        <f t="shared" si="11"/>
        <v>0</v>
      </c>
      <c r="AM12" s="1">
        <f t="shared" si="12"/>
        <v>0</v>
      </c>
      <c r="AN12" s="123">
        <f t="shared" si="13"/>
        <v>0</v>
      </c>
      <c r="AO12" s="317">
        <f t="shared" si="14"/>
        <v>0</v>
      </c>
      <c r="AP12" s="317">
        <f t="shared" si="15"/>
        <v>0</v>
      </c>
      <c r="AQ12" s="317">
        <f t="shared" si="16"/>
        <v>0</v>
      </c>
      <c r="AR12" s="317">
        <f t="shared" si="17"/>
        <v>0</v>
      </c>
      <c r="AS12" s="4">
        <f t="shared" si="18"/>
        <v>0</v>
      </c>
      <c r="AT12" s="4">
        <f t="shared" si="19"/>
        <v>0</v>
      </c>
      <c r="AU12" s="310">
        <f>IF(Data!$H$8="x",AV12,AW12)</f>
        <v>1.2666666666666666</v>
      </c>
      <c r="AV12" s="310">
        <f t="shared" si="20"/>
        <v>0.6333333333333333</v>
      </c>
      <c r="AW12" s="313">
        <f>IF(D12="V",AW11,(AW11+"07:36"))</f>
        <v>1.2666666666666666</v>
      </c>
      <c r="AX12" s="6" t="str">
        <f t="shared" si="21"/>
        <v>Di</v>
      </c>
      <c r="AY12" s="4">
        <f>IF((R40="B3")*AND(R41&lt;&gt;""),VLOOKUP(R41,Barema!$AF$5:$AG$31,2),)</f>
        <v>0</v>
      </c>
      <c r="AZ12" s="4" t="s">
        <v>5</v>
      </c>
      <c r="BA12" s="102"/>
      <c r="BB12" s="2"/>
    </row>
    <row r="13" spans="1:55" s="335" customFormat="1" x14ac:dyDescent="0.2">
      <c r="A13" s="302"/>
      <c r="B13" s="273" t="s">
        <v>179</v>
      </c>
      <c r="C13" s="311" t="s">
        <v>180</v>
      </c>
      <c r="D13" s="312"/>
      <c r="E13" s="312"/>
      <c r="F13" s="274"/>
      <c r="G13" s="274"/>
      <c r="H13" s="310"/>
      <c r="I13" s="310"/>
      <c r="J13" s="310"/>
      <c r="K13" s="310"/>
      <c r="L13" s="313">
        <f t="shared" si="31"/>
        <v>0</v>
      </c>
      <c r="M13" s="313">
        <f t="shared" si="30"/>
        <v>0.6333333333333333</v>
      </c>
      <c r="N13" s="313">
        <f t="shared" si="0"/>
        <v>1.5833333333333333</v>
      </c>
      <c r="O13" s="75" t="str">
        <f t="shared" si="22"/>
        <v>-</v>
      </c>
      <c r="P13" s="314">
        <f t="shared" si="23"/>
        <v>0.95</v>
      </c>
      <c r="Q13" s="312">
        <f t="shared" si="1"/>
        <v>0</v>
      </c>
      <c r="R13" s="312">
        <f t="shared" si="2"/>
        <v>0</v>
      </c>
      <c r="S13" s="312">
        <f t="shared" si="3"/>
        <v>0</v>
      </c>
      <c r="T13" s="312">
        <f t="shared" si="4"/>
        <v>0</v>
      </c>
      <c r="U13" s="313">
        <f>IF(D13="F",L13,0)</f>
        <v>0</v>
      </c>
      <c r="V13" s="313">
        <f t="shared" si="24"/>
        <v>0</v>
      </c>
      <c r="W13" s="313">
        <f t="shared" si="25"/>
        <v>0</v>
      </c>
      <c r="X13" s="312"/>
      <c r="Y13" s="310"/>
      <c r="Z13" s="310"/>
      <c r="AA13" s="315">
        <f t="shared" si="5"/>
        <v>0</v>
      </c>
      <c r="AB13" s="315">
        <f t="shared" si="6"/>
        <v>0</v>
      </c>
      <c r="AC13" s="315">
        <f t="shared" si="26"/>
        <v>0</v>
      </c>
      <c r="AD13" s="315">
        <f t="shared" si="7"/>
        <v>0</v>
      </c>
      <c r="AE13" s="316">
        <f t="shared" si="27"/>
        <v>0</v>
      </c>
      <c r="AF13" s="315">
        <f t="shared" si="28"/>
        <v>0</v>
      </c>
      <c r="AG13" s="316">
        <f t="shared" si="29"/>
        <v>0</v>
      </c>
      <c r="AH13" s="315">
        <f t="shared" si="8"/>
        <v>0</v>
      </c>
      <c r="AI13" s="123">
        <f>IF((D13&lt;&gt;""),VLOOKUP(D13,Data!$E$36:$H$53,4),)</f>
        <v>0</v>
      </c>
      <c r="AJ13" s="123">
        <f t="shared" si="9"/>
        <v>0</v>
      </c>
      <c r="AK13" s="4">
        <f t="shared" si="10"/>
        <v>0</v>
      </c>
      <c r="AL13" s="4">
        <f t="shared" si="11"/>
        <v>0</v>
      </c>
      <c r="AM13" s="1">
        <f t="shared" si="12"/>
        <v>0</v>
      </c>
      <c r="AN13" s="123">
        <f t="shared" si="13"/>
        <v>0</v>
      </c>
      <c r="AO13" s="317">
        <f t="shared" si="14"/>
        <v>0</v>
      </c>
      <c r="AP13" s="317">
        <f t="shared" si="15"/>
        <v>0</v>
      </c>
      <c r="AQ13" s="317">
        <f t="shared" si="16"/>
        <v>0</v>
      </c>
      <c r="AR13" s="317">
        <f t="shared" si="17"/>
        <v>0</v>
      </c>
      <c r="AS13" s="4">
        <f t="shared" si="18"/>
        <v>0</v>
      </c>
      <c r="AT13" s="4">
        <f t="shared" si="19"/>
        <v>0</v>
      </c>
      <c r="AU13" s="310">
        <f>IF(Data!$H$8="x",AV13,AW13)</f>
        <v>1.5833333333333333</v>
      </c>
      <c r="AV13" s="310">
        <f t="shared" si="20"/>
        <v>0.79166666666666663</v>
      </c>
      <c r="AW13" s="313">
        <f>IF(D13="V",AW12,(AW12+"07:36"))</f>
        <v>1.5833333333333333</v>
      </c>
      <c r="AX13" s="6" t="str">
        <f t="shared" si="21"/>
        <v>Wo</v>
      </c>
      <c r="AY13" s="4">
        <f>IF((R40="B4")*AND(R41&lt;&gt;""),VLOOKUP(R41,Barema!$AI$5:$AJ$34,2),)</f>
        <v>0</v>
      </c>
      <c r="AZ13" s="4" t="s">
        <v>6</v>
      </c>
      <c r="BA13" s="102"/>
      <c r="BB13" s="2"/>
    </row>
    <row r="14" spans="1:55" x14ac:dyDescent="0.2">
      <c r="B14" s="273" t="s">
        <v>167</v>
      </c>
      <c r="C14" s="311" t="s">
        <v>181</v>
      </c>
      <c r="D14" s="312"/>
      <c r="E14" s="312"/>
      <c r="F14" s="274"/>
      <c r="G14" s="274"/>
      <c r="H14" s="310"/>
      <c r="I14" s="310"/>
      <c r="J14" s="310"/>
      <c r="K14" s="310"/>
      <c r="L14" s="313">
        <f t="shared" si="31"/>
        <v>0</v>
      </c>
      <c r="M14" s="313">
        <f t="shared" si="30"/>
        <v>0.6333333333333333</v>
      </c>
      <c r="N14" s="313">
        <f t="shared" si="0"/>
        <v>1.9</v>
      </c>
      <c r="O14" s="75" t="str">
        <f t="shared" si="22"/>
        <v>-</v>
      </c>
      <c r="P14" s="314">
        <f t="shared" si="23"/>
        <v>1.2666666666666666</v>
      </c>
      <c r="Q14" s="312">
        <f t="shared" si="1"/>
        <v>0</v>
      </c>
      <c r="R14" s="312">
        <f t="shared" si="2"/>
        <v>0</v>
      </c>
      <c r="S14" s="312">
        <f t="shared" si="3"/>
        <v>0</v>
      </c>
      <c r="T14" s="312">
        <f t="shared" si="4"/>
        <v>0</v>
      </c>
      <c r="U14" s="313">
        <f>IF(D14="F",L14,0)</f>
        <v>0</v>
      </c>
      <c r="V14" s="313">
        <f t="shared" si="24"/>
        <v>0</v>
      </c>
      <c r="W14" s="313">
        <f t="shared" si="25"/>
        <v>0</v>
      </c>
      <c r="X14" s="312"/>
      <c r="Y14" s="310"/>
      <c r="Z14" s="310"/>
      <c r="AA14" s="315">
        <f t="shared" si="5"/>
        <v>0</v>
      </c>
      <c r="AB14" s="315">
        <f t="shared" si="6"/>
        <v>0</v>
      </c>
      <c r="AC14" s="315">
        <f t="shared" si="26"/>
        <v>0</v>
      </c>
      <c r="AD14" s="315">
        <f t="shared" si="7"/>
        <v>0</v>
      </c>
      <c r="AE14" s="316">
        <f t="shared" si="27"/>
        <v>0</v>
      </c>
      <c r="AF14" s="315">
        <f t="shared" si="28"/>
        <v>0</v>
      </c>
      <c r="AG14" s="316">
        <f t="shared" si="29"/>
        <v>0</v>
      </c>
      <c r="AH14" s="315">
        <f t="shared" si="8"/>
        <v>0</v>
      </c>
      <c r="AI14" s="123">
        <f>IF((D14&lt;&gt;""),VLOOKUP(D14,Data!$E$36:$H$53,4),)</f>
        <v>0</v>
      </c>
      <c r="AJ14" s="123">
        <f t="shared" si="9"/>
        <v>0</v>
      </c>
      <c r="AK14" s="4">
        <f t="shared" si="10"/>
        <v>0</v>
      </c>
      <c r="AL14" s="4">
        <f t="shared" si="11"/>
        <v>0</v>
      </c>
      <c r="AM14" s="1">
        <f t="shared" si="12"/>
        <v>0</v>
      </c>
      <c r="AN14" s="123">
        <f t="shared" si="13"/>
        <v>0</v>
      </c>
      <c r="AO14" s="317">
        <f t="shared" si="14"/>
        <v>0</v>
      </c>
      <c r="AP14" s="317">
        <f t="shared" si="15"/>
        <v>0</v>
      </c>
      <c r="AQ14" s="317">
        <f t="shared" si="16"/>
        <v>0</v>
      </c>
      <c r="AR14" s="317">
        <f t="shared" si="17"/>
        <v>0</v>
      </c>
      <c r="AS14" s="4">
        <f t="shared" si="18"/>
        <v>0</v>
      </c>
      <c r="AT14" s="4">
        <f t="shared" si="19"/>
        <v>0</v>
      </c>
      <c r="AU14" s="310">
        <f>IF(Data!$H$8="x",AV14,AW14)</f>
        <v>1.9</v>
      </c>
      <c r="AV14" s="310">
        <f t="shared" ref="AV14:AV19" si="32">AW14/2</f>
        <v>0.95</v>
      </c>
      <c r="AW14" s="313">
        <f>IF(D14="V",AW13,(AW13+"07:36"))</f>
        <v>1.9</v>
      </c>
      <c r="AX14" s="6" t="str">
        <f t="shared" si="21"/>
        <v>Do</v>
      </c>
      <c r="AY14" s="4">
        <f>IF((R40="B5")*AND(R41&lt;&gt;""),VLOOKUP(R41,Barema!$AL$5:$AM$34,2),)</f>
        <v>0</v>
      </c>
      <c r="AZ14" s="4" t="s">
        <v>7</v>
      </c>
      <c r="BA14" s="102"/>
      <c r="BB14" s="2"/>
    </row>
    <row r="15" spans="1:55" x14ac:dyDescent="0.2">
      <c r="B15" s="273" t="s">
        <v>169</v>
      </c>
      <c r="C15" s="311" t="s">
        <v>182</v>
      </c>
      <c r="D15" s="312"/>
      <c r="E15" s="312"/>
      <c r="F15" s="274"/>
      <c r="G15" s="274"/>
      <c r="H15" s="310"/>
      <c r="I15" s="310"/>
      <c r="J15" s="310"/>
      <c r="K15" s="310"/>
      <c r="L15" s="313">
        <f t="shared" si="31"/>
        <v>0</v>
      </c>
      <c r="M15" s="313">
        <f>M14+L15</f>
        <v>0.6333333333333333</v>
      </c>
      <c r="N15" s="313">
        <f t="shared" si="0"/>
        <v>2.2166666666666668</v>
      </c>
      <c r="O15" s="75" t="str">
        <f t="shared" si="22"/>
        <v>-</v>
      </c>
      <c r="P15" s="314">
        <f t="shared" si="23"/>
        <v>1.5833333333333335</v>
      </c>
      <c r="Q15" s="312">
        <f t="shared" si="1"/>
        <v>0</v>
      </c>
      <c r="R15" s="312">
        <f t="shared" si="2"/>
        <v>0</v>
      </c>
      <c r="S15" s="312">
        <f t="shared" si="3"/>
        <v>0</v>
      </c>
      <c r="T15" s="312">
        <f t="shared" si="4"/>
        <v>0</v>
      </c>
      <c r="U15" s="313">
        <f>IF(D15="F",L15,0)</f>
        <v>0</v>
      </c>
      <c r="V15" s="313">
        <f t="shared" si="24"/>
        <v>0</v>
      </c>
      <c r="W15" s="313">
        <f t="shared" si="25"/>
        <v>0</v>
      </c>
      <c r="X15" s="312"/>
      <c r="Y15" s="310"/>
      <c r="Z15" s="310"/>
      <c r="AA15" s="315">
        <f t="shared" si="5"/>
        <v>0</v>
      </c>
      <c r="AB15" s="315">
        <f t="shared" si="6"/>
        <v>0</v>
      </c>
      <c r="AC15" s="315">
        <f t="shared" si="26"/>
        <v>0</v>
      </c>
      <c r="AD15" s="315">
        <f t="shared" si="7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5">
        <f t="shared" si="8"/>
        <v>0</v>
      </c>
      <c r="AI15" s="123">
        <f>IF((D15&lt;&gt;""),VLOOKUP(D15,Data!$E$36:$H$53,4),)</f>
        <v>0</v>
      </c>
      <c r="AJ15" s="123">
        <f t="shared" si="9"/>
        <v>0</v>
      </c>
      <c r="AK15" s="4">
        <f t="shared" si="10"/>
        <v>0</v>
      </c>
      <c r="AL15" s="4">
        <f t="shared" si="11"/>
        <v>0</v>
      </c>
      <c r="AM15" s="1">
        <f t="shared" si="12"/>
        <v>0</v>
      </c>
      <c r="AN15" s="123">
        <f t="shared" si="13"/>
        <v>0</v>
      </c>
      <c r="AO15" s="317">
        <f t="shared" si="14"/>
        <v>0</v>
      </c>
      <c r="AP15" s="317">
        <f t="shared" si="15"/>
        <v>0</v>
      </c>
      <c r="AQ15" s="317">
        <f t="shared" si="16"/>
        <v>0</v>
      </c>
      <c r="AR15" s="317">
        <f t="shared" si="17"/>
        <v>0</v>
      </c>
      <c r="AS15" s="4">
        <f t="shared" si="18"/>
        <v>0</v>
      </c>
      <c r="AT15" s="4">
        <f t="shared" si="19"/>
        <v>0</v>
      </c>
      <c r="AU15" s="310">
        <f>IF(Data!$H$8="x",AV15,AW15)</f>
        <v>2.2166666666666668</v>
      </c>
      <c r="AV15" s="310">
        <f t="shared" si="32"/>
        <v>1.1083333333333334</v>
      </c>
      <c r="AW15" s="313">
        <f>IF(D15="V",AW14,(AW14+"07:36"))</f>
        <v>2.2166666666666668</v>
      </c>
      <c r="AX15" s="6" t="str">
        <f t="shared" si="21"/>
        <v>Vr</v>
      </c>
      <c r="AY15" s="4">
        <f>IF((R40="M1.1")*AND(R41&lt;&gt;""),VLOOKUP(R41,Barema!$AO$5:$AP$31,2),)</f>
        <v>0</v>
      </c>
      <c r="AZ15" s="4" t="s">
        <v>8</v>
      </c>
      <c r="BA15" s="102"/>
      <c r="BB15" s="2"/>
    </row>
    <row r="16" spans="1:55" s="376" customFormat="1" x14ac:dyDescent="0.2">
      <c r="A16" s="374"/>
      <c r="B16" s="362" t="s">
        <v>171</v>
      </c>
      <c r="C16" s="363" t="s">
        <v>183</v>
      </c>
      <c r="D16" s="364"/>
      <c r="E16" s="364"/>
      <c r="F16" s="365"/>
      <c r="G16" s="365"/>
      <c r="H16" s="365"/>
      <c r="I16" s="365"/>
      <c r="J16" s="375"/>
      <c r="K16" s="375"/>
      <c r="L16" s="366">
        <f>(G16-F16)+(I16-H16)+(K16-J16)</f>
        <v>0</v>
      </c>
      <c r="M16" s="366">
        <f t="shared" ref="M16:M21" si="33">M15+L16</f>
        <v>0.6333333333333333</v>
      </c>
      <c r="N16" s="366">
        <f t="shared" si="0"/>
        <v>2.2166666666666668</v>
      </c>
      <c r="O16" s="411" t="str">
        <f t="shared" si="22"/>
        <v>-</v>
      </c>
      <c r="P16" s="367">
        <f t="shared" si="23"/>
        <v>1.5833333333333335</v>
      </c>
      <c r="Q16" s="364">
        <f t="shared" si="1"/>
        <v>0</v>
      </c>
      <c r="R16" s="364">
        <f t="shared" si="2"/>
        <v>0</v>
      </c>
      <c r="S16" s="364">
        <f t="shared" si="3"/>
        <v>0</v>
      </c>
      <c r="T16" s="364">
        <f t="shared" si="4"/>
        <v>0</v>
      </c>
      <c r="U16" s="366">
        <f>L16</f>
        <v>0</v>
      </c>
      <c r="V16" s="366">
        <f t="shared" si="24"/>
        <v>0</v>
      </c>
      <c r="W16" s="366">
        <f t="shared" si="25"/>
        <v>0</v>
      </c>
      <c r="X16" s="364"/>
      <c r="Y16" s="365"/>
      <c r="Z16" s="365"/>
      <c r="AA16" s="368">
        <f t="shared" si="5"/>
        <v>0</v>
      </c>
      <c r="AB16" s="368">
        <f t="shared" si="6"/>
        <v>0</v>
      </c>
      <c r="AC16" s="368">
        <f t="shared" si="26"/>
        <v>0</v>
      </c>
      <c r="AD16" s="368">
        <f t="shared" si="7"/>
        <v>0</v>
      </c>
      <c r="AE16" s="369">
        <f t="shared" si="27"/>
        <v>0</v>
      </c>
      <c r="AF16" s="368">
        <f t="shared" si="28"/>
        <v>0</v>
      </c>
      <c r="AG16" s="369">
        <f t="shared" si="29"/>
        <v>0</v>
      </c>
      <c r="AH16" s="368">
        <f t="shared" si="8"/>
        <v>0</v>
      </c>
      <c r="AI16" s="370">
        <f>IF((D16&lt;&gt;""),VLOOKUP(D16,Data!$E$36:$H$53,4),)</f>
        <v>0</v>
      </c>
      <c r="AJ16" s="370">
        <f t="shared" si="9"/>
        <v>0</v>
      </c>
      <c r="AK16" s="371">
        <f t="shared" si="10"/>
        <v>0</v>
      </c>
      <c r="AL16" s="371">
        <f t="shared" si="11"/>
        <v>0</v>
      </c>
      <c r="AM16" s="372">
        <f t="shared" si="12"/>
        <v>0</v>
      </c>
      <c r="AN16" s="370">
        <f t="shared" si="13"/>
        <v>0</v>
      </c>
      <c r="AO16" s="373">
        <f t="shared" si="14"/>
        <v>0</v>
      </c>
      <c r="AP16" s="373">
        <f t="shared" si="15"/>
        <v>0</v>
      </c>
      <c r="AQ16" s="373">
        <f t="shared" si="16"/>
        <v>0</v>
      </c>
      <c r="AR16" s="373">
        <f t="shared" si="17"/>
        <v>0</v>
      </c>
      <c r="AS16" s="371">
        <f t="shared" si="18"/>
        <v>0</v>
      </c>
      <c r="AT16" s="371">
        <f t="shared" si="19"/>
        <v>0</v>
      </c>
      <c r="AU16" s="365">
        <f>IF(Data!$H$8="x",AV16,AW16)</f>
        <v>2.2166666666666668</v>
      </c>
      <c r="AV16" s="365">
        <f t="shared" si="32"/>
        <v>1.1083333333333334</v>
      </c>
      <c r="AW16" s="366">
        <f>AW15</f>
        <v>2.2166666666666668</v>
      </c>
      <c r="AX16" s="362" t="str">
        <f t="shared" si="21"/>
        <v>Za</v>
      </c>
      <c r="AY16" s="371">
        <f>IF((R40="M1.2")*AND(R41&lt;&gt;""),VLOOKUP(R41,Barema!$AR$5:$AS$31,2),)</f>
        <v>0</v>
      </c>
      <c r="AZ16" s="371" t="s">
        <v>9</v>
      </c>
      <c r="BA16" s="439"/>
      <c r="BB16" s="374"/>
    </row>
    <row r="17" spans="1:54" s="376" customFormat="1" x14ac:dyDescent="0.2">
      <c r="A17" s="374"/>
      <c r="B17" s="362" t="s">
        <v>173</v>
      </c>
      <c r="C17" s="363" t="s">
        <v>184</v>
      </c>
      <c r="D17" s="364"/>
      <c r="E17" s="364"/>
      <c r="F17" s="365"/>
      <c r="G17" s="365"/>
      <c r="H17" s="365"/>
      <c r="I17" s="365"/>
      <c r="J17" s="375"/>
      <c r="K17" s="375"/>
      <c r="L17" s="366">
        <f>(G17-F17)+(I17-H17)+(K17-J17)</f>
        <v>0</v>
      </c>
      <c r="M17" s="366">
        <f t="shared" si="33"/>
        <v>0.6333333333333333</v>
      </c>
      <c r="N17" s="366">
        <f t="shared" si="0"/>
        <v>2.2166666666666668</v>
      </c>
      <c r="O17" s="411" t="str">
        <f t="shared" si="22"/>
        <v>-</v>
      </c>
      <c r="P17" s="367">
        <f t="shared" si="23"/>
        <v>1.5833333333333335</v>
      </c>
      <c r="Q17" s="364">
        <f t="shared" si="1"/>
        <v>0</v>
      </c>
      <c r="R17" s="364">
        <f t="shared" si="2"/>
        <v>0</v>
      </c>
      <c r="S17" s="364">
        <f t="shared" si="3"/>
        <v>0</v>
      </c>
      <c r="T17" s="364">
        <f t="shared" si="4"/>
        <v>0</v>
      </c>
      <c r="U17" s="366">
        <f>L17</f>
        <v>0</v>
      </c>
      <c r="V17" s="366">
        <f t="shared" si="24"/>
        <v>0</v>
      </c>
      <c r="W17" s="366">
        <f t="shared" si="25"/>
        <v>0</v>
      </c>
      <c r="X17" s="364"/>
      <c r="Y17" s="365"/>
      <c r="Z17" s="365"/>
      <c r="AA17" s="368">
        <f t="shared" si="5"/>
        <v>0</v>
      </c>
      <c r="AB17" s="368">
        <f t="shared" si="6"/>
        <v>0</v>
      </c>
      <c r="AC17" s="368">
        <f t="shared" si="26"/>
        <v>0</v>
      </c>
      <c r="AD17" s="368">
        <f t="shared" si="7"/>
        <v>0</v>
      </c>
      <c r="AE17" s="369">
        <f t="shared" si="27"/>
        <v>0</v>
      </c>
      <c r="AF17" s="368">
        <f t="shared" si="28"/>
        <v>0</v>
      </c>
      <c r="AG17" s="369">
        <f t="shared" si="29"/>
        <v>0</v>
      </c>
      <c r="AH17" s="368">
        <f t="shared" si="8"/>
        <v>0</v>
      </c>
      <c r="AI17" s="370">
        <f>IF((D17&lt;&gt;""),VLOOKUP(D17,Data!$E$36:$H$53,4),)</f>
        <v>0</v>
      </c>
      <c r="AJ17" s="370">
        <f t="shared" si="9"/>
        <v>0</v>
      </c>
      <c r="AK17" s="371">
        <f t="shared" si="10"/>
        <v>0</v>
      </c>
      <c r="AL17" s="371">
        <f t="shared" si="11"/>
        <v>0</v>
      </c>
      <c r="AM17" s="372">
        <f t="shared" si="12"/>
        <v>0</v>
      </c>
      <c r="AN17" s="370">
        <f t="shared" si="13"/>
        <v>0</v>
      </c>
      <c r="AO17" s="373">
        <f t="shared" si="14"/>
        <v>0</v>
      </c>
      <c r="AP17" s="373">
        <f t="shared" si="15"/>
        <v>0</v>
      </c>
      <c r="AQ17" s="373">
        <f t="shared" si="16"/>
        <v>0</v>
      </c>
      <c r="AR17" s="373">
        <f t="shared" si="17"/>
        <v>0</v>
      </c>
      <c r="AS17" s="371">
        <f t="shared" si="18"/>
        <v>0</v>
      </c>
      <c r="AT17" s="371">
        <f t="shared" si="19"/>
        <v>0</v>
      </c>
      <c r="AU17" s="365">
        <f>IF(Data!$H$8="x",AV17,AW17)</f>
        <v>2.2166666666666668</v>
      </c>
      <c r="AV17" s="365">
        <f t="shared" si="32"/>
        <v>1.1083333333333334</v>
      </c>
      <c r="AW17" s="366">
        <f>AW16</f>
        <v>2.2166666666666668</v>
      </c>
      <c r="AX17" s="362" t="str">
        <f t="shared" si="21"/>
        <v>Zo</v>
      </c>
      <c r="AY17" s="371">
        <f>IF((R40="M2.1")*AND(R41&lt;&gt;""),VLOOKUP(R41,Barema!$AU$5:$AV$31,2),)</f>
        <v>0</v>
      </c>
      <c r="AZ17" s="371" t="s">
        <v>10</v>
      </c>
      <c r="BA17" s="439"/>
      <c r="BB17" s="374"/>
    </row>
    <row r="18" spans="1:54" s="378" customFormat="1" x14ac:dyDescent="0.2">
      <c r="A18" s="309"/>
      <c r="B18" s="6" t="s">
        <v>175</v>
      </c>
      <c r="C18" s="311" t="s">
        <v>185</v>
      </c>
      <c r="D18" s="312"/>
      <c r="E18" s="312"/>
      <c r="F18" s="274"/>
      <c r="G18" s="274"/>
      <c r="H18" s="310"/>
      <c r="I18" s="310"/>
      <c r="J18" s="336"/>
      <c r="K18" s="336"/>
      <c r="L18" s="313">
        <f>(G18-F18)+(I18-H18)+(K18-J18)+AI18+AN18</f>
        <v>0</v>
      </c>
      <c r="M18" s="313">
        <f t="shared" si="33"/>
        <v>0.6333333333333333</v>
      </c>
      <c r="N18" s="313">
        <f t="shared" si="0"/>
        <v>2.5333333333333332</v>
      </c>
      <c r="O18" s="75" t="str">
        <f t="shared" si="22"/>
        <v>-</v>
      </c>
      <c r="P18" s="314">
        <f t="shared" si="23"/>
        <v>1.9</v>
      </c>
      <c r="Q18" s="312">
        <f t="shared" si="1"/>
        <v>0</v>
      </c>
      <c r="R18" s="312">
        <f t="shared" si="2"/>
        <v>0</v>
      </c>
      <c r="S18" s="312">
        <f t="shared" si="3"/>
        <v>0</v>
      </c>
      <c r="T18" s="312">
        <f t="shared" si="4"/>
        <v>0</v>
      </c>
      <c r="U18" s="313">
        <f>IF(D18="F",L18,0)</f>
        <v>0</v>
      </c>
      <c r="V18" s="313">
        <f t="shared" si="24"/>
        <v>0</v>
      </c>
      <c r="W18" s="313">
        <f t="shared" si="25"/>
        <v>0</v>
      </c>
      <c r="X18" s="312"/>
      <c r="Y18" s="310"/>
      <c r="Z18" s="310"/>
      <c r="AA18" s="315">
        <f t="shared" si="5"/>
        <v>0</v>
      </c>
      <c r="AB18" s="315">
        <f t="shared" si="6"/>
        <v>0</v>
      </c>
      <c r="AC18" s="315">
        <f t="shared" si="26"/>
        <v>0</v>
      </c>
      <c r="AD18" s="315">
        <f t="shared" si="7"/>
        <v>0</v>
      </c>
      <c r="AE18" s="316">
        <f t="shared" si="27"/>
        <v>0</v>
      </c>
      <c r="AF18" s="315">
        <f t="shared" si="28"/>
        <v>0</v>
      </c>
      <c r="AG18" s="316">
        <f t="shared" si="29"/>
        <v>0</v>
      </c>
      <c r="AH18" s="315">
        <f t="shared" si="8"/>
        <v>0</v>
      </c>
      <c r="AI18" s="123">
        <f>IF((D18&lt;&gt;""),VLOOKUP(D18,Data!$E$36:$H$53,4),)</f>
        <v>0</v>
      </c>
      <c r="AJ18" s="123">
        <f t="shared" si="9"/>
        <v>0</v>
      </c>
      <c r="AK18" s="4">
        <f t="shared" si="10"/>
        <v>0</v>
      </c>
      <c r="AL18" s="4">
        <f t="shared" si="11"/>
        <v>0</v>
      </c>
      <c r="AM18" s="1">
        <f t="shared" si="12"/>
        <v>0</v>
      </c>
      <c r="AN18" s="123">
        <f t="shared" si="13"/>
        <v>0</v>
      </c>
      <c r="AO18" s="317">
        <f t="shared" si="14"/>
        <v>0</v>
      </c>
      <c r="AP18" s="317">
        <f t="shared" si="15"/>
        <v>0</v>
      </c>
      <c r="AQ18" s="317">
        <f t="shared" si="16"/>
        <v>0</v>
      </c>
      <c r="AR18" s="317">
        <f t="shared" si="17"/>
        <v>0</v>
      </c>
      <c r="AS18" s="4">
        <f t="shared" si="18"/>
        <v>0</v>
      </c>
      <c r="AT18" s="4">
        <f t="shared" si="19"/>
        <v>0</v>
      </c>
      <c r="AU18" s="310">
        <f>IF(Data!$H$8="x",AV18,AW18)</f>
        <v>2.5333333333333332</v>
      </c>
      <c r="AV18" s="310">
        <f t="shared" si="32"/>
        <v>1.2666666666666666</v>
      </c>
      <c r="AW18" s="313">
        <f>IF(D18="V",AW17,(AW17+"07:36"))</f>
        <v>2.5333333333333332</v>
      </c>
      <c r="AX18" s="6" t="str">
        <f t="shared" si="21"/>
        <v>Ma</v>
      </c>
      <c r="AY18" s="4">
        <f>IF((R40="M2.2")*AND(R41&lt;&gt;""),VLOOKUP(R41,Barema!$AX$5:$AY$31,2),)</f>
        <v>0</v>
      </c>
      <c r="AZ18" s="4" t="s">
        <v>11</v>
      </c>
      <c r="BA18" s="102"/>
      <c r="BB18" s="309"/>
    </row>
    <row r="19" spans="1:54" s="335" customFormat="1" x14ac:dyDescent="0.2">
      <c r="A19" s="302"/>
      <c r="B19" s="273" t="s">
        <v>177</v>
      </c>
      <c r="C19" s="311" t="s">
        <v>186</v>
      </c>
      <c r="D19" s="312"/>
      <c r="E19" s="312"/>
      <c r="F19" s="274"/>
      <c r="G19" s="274"/>
      <c r="H19" s="310"/>
      <c r="I19" s="310"/>
      <c r="J19" s="336"/>
      <c r="K19" s="336"/>
      <c r="L19" s="313">
        <f>(G19-F19)+(I19-H19)+(K19-J19)+AI19+AN19</f>
        <v>0</v>
      </c>
      <c r="M19" s="313">
        <f t="shared" si="33"/>
        <v>0.6333333333333333</v>
      </c>
      <c r="N19" s="313">
        <f t="shared" si="0"/>
        <v>2.8499999999999996</v>
      </c>
      <c r="O19" s="75" t="str">
        <f t="shared" si="22"/>
        <v>-</v>
      </c>
      <c r="P19" s="314">
        <f t="shared" si="23"/>
        <v>2.2166666666666663</v>
      </c>
      <c r="Q19" s="312">
        <f t="shared" si="1"/>
        <v>0</v>
      </c>
      <c r="R19" s="312">
        <f t="shared" si="2"/>
        <v>0</v>
      </c>
      <c r="S19" s="312">
        <f t="shared" si="3"/>
        <v>0</v>
      </c>
      <c r="T19" s="312">
        <f t="shared" si="4"/>
        <v>0</v>
      </c>
      <c r="U19" s="313">
        <f>IF(D19="F",L19,0)</f>
        <v>0</v>
      </c>
      <c r="V19" s="313">
        <f t="shared" si="24"/>
        <v>0</v>
      </c>
      <c r="W19" s="313">
        <f t="shared" si="25"/>
        <v>0</v>
      </c>
      <c r="X19" s="312"/>
      <c r="Y19" s="310"/>
      <c r="Z19" s="310"/>
      <c r="AA19" s="315">
        <f t="shared" si="5"/>
        <v>0</v>
      </c>
      <c r="AB19" s="315">
        <f t="shared" si="6"/>
        <v>0</v>
      </c>
      <c r="AC19" s="315">
        <f t="shared" si="26"/>
        <v>0</v>
      </c>
      <c r="AD19" s="315">
        <f t="shared" si="7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8"/>
        <v>0</v>
      </c>
      <c r="AI19" s="123">
        <f>IF((D19&lt;&gt;""),VLOOKUP(D19,Data!$E$36:$H$53,4),)</f>
        <v>0</v>
      </c>
      <c r="AJ19" s="123">
        <f t="shared" si="9"/>
        <v>0</v>
      </c>
      <c r="AK19" s="4">
        <f t="shared" si="10"/>
        <v>0</v>
      </c>
      <c r="AL19" s="4">
        <f t="shared" si="11"/>
        <v>0</v>
      </c>
      <c r="AM19" s="1">
        <f t="shared" si="12"/>
        <v>0</v>
      </c>
      <c r="AN19" s="123">
        <f t="shared" si="13"/>
        <v>0</v>
      </c>
      <c r="AO19" s="317">
        <f t="shared" si="14"/>
        <v>0</v>
      </c>
      <c r="AP19" s="317">
        <f t="shared" si="15"/>
        <v>0</v>
      </c>
      <c r="AQ19" s="317">
        <f t="shared" si="16"/>
        <v>0</v>
      </c>
      <c r="AR19" s="317">
        <f t="shared" si="17"/>
        <v>0</v>
      </c>
      <c r="AS19" s="4">
        <f t="shared" si="18"/>
        <v>0</v>
      </c>
      <c r="AT19" s="4">
        <f t="shared" si="19"/>
        <v>0</v>
      </c>
      <c r="AU19" s="310">
        <f>IF(Data!$H$8="x",AV19,AW19)</f>
        <v>2.8499999999999996</v>
      </c>
      <c r="AV19" s="310">
        <f t="shared" si="32"/>
        <v>1.4249999999999998</v>
      </c>
      <c r="AW19" s="313">
        <f>IF(D19="V",AW18,(AW18+"07:36"))</f>
        <v>2.8499999999999996</v>
      </c>
      <c r="AX19" s="6" t="str">
        <f t="shared" si="21"/>
        <v>Di</v>
      </c>
      <c r="AY19" s="4">
        <f>IF((R40="M3.1")*AND(R41&lt;&gt;""),VLOOKUP(R41,Barema!$BA$5:$BB$31,2),)</f>
        <v>0</v>
      </c>
      <c r="AZ19" s="4" t="s">
        <v>12</v>
      </c>
      <c r="BA19" s="102"/>
      <c r="BB19" s="2"/>
    </row>
    <row r="20" spans="1:54" s="335" customFormat="1" x14ac:dyDescent="0.2">
      <c r="A20" s="302"/>
      <c r="B20" s="273" t="s">
        <v>179</v>
      </c>
      <c r="C20" s="311" t="s">
        <v>187</v>
      </c>
      <c r="D20" s="312"/>
      <c r="E20" s="312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13">
        <f t="shared" si="33"/>
        <v>0.6333333333333333</v>
      </c>
      <c r="N20" s="313">
        <f t="shared" si="0"/>
        <v>3.1666666666666661</v>
      </c>
      <c r="O20" s="75" t="str">
        <f t="shared" si="22"/>
        <v>-</v>
      </c>
      <c r="P20" s="314">
        <f t="shared" si="23"/>
        <v>2.5333333333333328</v>
      </c>
      <c r="Q20" s="312">
        <f t="shared" si="1"/>
        <v>0</v>
      </c>
      <c r="R20" s="312">
        <f t="shared" si="2"/>
        <v>0</v>
      </c>
      <c r="S20" s="312">
        <f t="shared" si="3"/>
        <v>0</v>
      </c>
      <c r="T20" s="312">
        <f t="shared" si="4"/>
        <v>0</v>
      </c>
      <c r="U20" s="313">
        <f>IF(D20="F",L20,0)</f>
        <v>0</v>
      </c>
      <c r="V20" s="313">
        <f t="shared" si="24"/>
        <v>0</v>
      </c>
      <c r="W20" s="313">
        <f t="shared" si="25"/>
        <v>0</v>
      </c>
      <c r="X20" s="312"/>
      <c r="Y20" s="310"/>
      <c r="Z20" s="310"/>
      <c r="AA20" s="315">
        <f t="shared" si="5"/>
        <v>0</v>
      </c>
      <c r="AB20" s="315">
        <f t="shared" si="6"/>
        <v>0</v>
      </c>
      <c r="AC20" s="315">
        <f t="shared" si="26"/>
        <v>0</v>
      </c>
      <c r="AD20" s="315">
        <f t="shared" si="7"/>
        <v>0</v>
      </c>
      <c r="AE20" s="316">
        <f t="shared" si="27"/>
        <v>0</v>
      </c>
      <c r="AF20" s="315">
        <f t="shared" si="28"/>
        <v>0</v>
      </c>
      <c r="AG20" s="316">
        <f t="shared" si="29"/>
        <v>0</v>
      </c>
      <c r="AH20" s="315">
        <f t="shared" si="8"/>
        <v>0</v>
      </c>
      <c r="AI20" s="123">
        <f>IF((D20&lt;&gt;""),VLOOKUP(D20,Data!$E$36:$H$53,4),)</f>
        <v>0</v>
      </c>
      <c r="AJ20" s="123">
        <f t="shared" si="9"/>
        <v>0</v>
      </c>
      <c r="AK20" s="4">
        <f t="shared" si="10"/>
        <v>0</v>
      </c>
      <c r="AL20" s="4">
        <f t="shared" si="11"/>
        <v>0</v>
      </c>
      <c r="AM20" s="1">
        <f t="shared" si="12"/>
        <v>0</v>
      </c>
      <c r="AN20" s="123">
        <f t="shared" si="13"/>
        <v>0</v>
      </c>
      <c r="AO20" s="317">
        <f t="shared" si="14"/>
        <v>0</v>
      </c>
      <c r="AP20" s="317">
        <f t="shared" si="15"/>
        <v>0</v>
      </c>
      <c r="AQ20" s="317">
        <f t="shared" si="16"/>
        <v>0</v>
      </c>
      <c r="AR20" s="317">
        <f t="shared" si="17"/>
        <v>0</v>
      </c>
      <c r="AS20" s="4">
        <f t="shared" si="18"/>
        <v>0</v>
      </c>
      <c r="AT20" s="4">
        <f t="shared" si="19"/>
        <v>0</v>
      </c>
      <c r="AU20" s="310">
        <f>IF(Data!$H$8="x",AV20,AW20)</f>
        <v>3.1666666666666661</v>
      </c>
      <c r="AV20" s="310">
        <f t="shared" si="20"/>
        <v>1.583333333333333</v>
      </c>
      <c r="AW20" s="313">
        <f>IF(D20="V",AW19,(AW19+"07:36"))</f>
        <v>3.1666666666666661</v>
      </c>
      <c r="AX20" s="6" t="str">
        <f t="shared" si="21"/>
        <v>Wo</v>
      </c>
      <c r="AY20" s="4">
        <f>IF((R40="M3.2")*AND(R41&lt;&gt;""),VLOOKUP(R41,Barema!$BD$5:$BE$31,2),)</f>
        <v>0</v>
      </c>
      <c r="AZ20" s="4" t="s">
        <v>13</v>
      </c>
      <c r="BA20" s="102"/>
      <c r="BB20" s="2"/>
    </row>
    <row r="21" spans="1:54" x14ac:dyDescent="0.2">
      <c r="B21" s="273" t="s">
        <v>167</v>
      </c>
      <c r="C21" s="311" t="s">
        <v>188</v>
      </c>
      <c r="D21" s="312"/>
      <c r="E21" s="312"/>
      <c r="F21" s="274"/>
      <c r="G21" s="274"/>
      <c r="H21" s="310"/>
      <c r="I21" s="310"/>
      <c r="J21" s="310"/>
      <c r="K21" s="310"/>
      <c r="L21" s="313">
        <f>(G21-F21)+(I21-H21)+(K21-J21)+AI21+AN21</f>
        <v>0</v>
      </c>
      <c r="M21" s="313">
        <f t="shared" si="33"/>
        <v>0.6333333333333333</v>
      </c>
      <c r="N21" s="313">
        <f t="shared" si="0"/>
        <v>3.4833333333333325</v>
      </c>
      <c r="O21" s="75" t="str">
        <f t="shared" si="22"/>
        <v>-</v>
      </c>
      <c r="P21" s="314">
        <f t="shared" si="23"/>
        <v>2.8499999999999992</v>
      </c>
      <c r="Q21" s="312">
        <f t="shared" si="1"/>
        <v>0</v>
      </c>
      <c r="R21" s="312">
        <f t="shared" si="2"/>
        <v>0</v>
      </c>
      <c r="S21" s="312">
        <f t="shared" si="3"/>
        <v>0</v>
      </c>
      <c r="T21" s="312">
        <f t="shared" si="4"/>
        <v>0</v>
      </c>
      <c r="U21" s="313">
        <f>IF(D21="F",L21,0)</f>
        <v>0</v>
      </c>
      <c r="V21" s="313">
        <f t="shared" si="24"/>
        <v>0</v>
      </c>
      <c r="W21" s="313">
        <f t="shared" si="25"/>
        <v>0</v>
      </c>
      <c r="X21" s="312"/>
      <c r="Y21" s="310"/>
      <c r="Z21" s="310"/>
      <c r="AA21" s="315">
        <f t="shared" si="5"/>
        <v>0</v>
      </c>
      <c r="AB21" s="315">
        <f t="shared" si="6"/>
        <v>0</v>
      </c>
      <c r="AC21" s="315">
        <f t="shared" si="26"/>
        <v>0</v>
      </c>
      <c r="AD21" s="315">
        <f t="shared" si="7"/>
        <v>0</v>
      </c>
      <c r="AE21" s="316">
        <f t="shared" si="27"/>
        <v>0</v>
      </c>
      <c r="AF21" s="315">
        <f t="shared" si="28"/>
        <v>0</v>
      </c>
      <c r="AG21" s="316">
        <f t="shared" si="29"/>
        <v>0</v>
      </c>
      <c r="AH21" s="315">
        <f t="shared" si="8"/>
        <v>0</v>
      </c>
      <c r="AI21" s="123">
        <f>IF((D21&lt;&gt;""),VLOOKUP(D21,Data!$E$36:$H$53,4),)</f>
        <v>0</v>
      </c>
      <c r="AJ21" s="123">
        <f t="shared" si="9"/>
        <v>0</v>
      </c>
      <c r="AK21" s="4">
        <f t="shared" si="10"/>
        <v>0</v>
      </c>
      <c r="AL21" s="4">
        <f t="shared" si="11"/>
        <v>0</v>
      </c>
      <c r="AM21" s="1">
        <f t="shared" si="12"/>
        <v>0</v>
      </c>
      <c r="AN21" s="123">
        <f t="shared" si="13"/>
        <v>0</v>
      </c>
      <c r="AO21" s="317">
        <f t="shared" si="14"/>
        <v>0</v>
      </c>
      <c r="AP21" s="317">
        <f t="shared" si="15"/>
        <v>0</v>
      </c>
      <c r="AQ21" s="317">
        <f t="shared" si="16"/>
        <v>0</v>
      </c>
      <c r="AR21" s="317">
        <f t="shared" si="17"/>
        <v>0</v>
      </c>
      <c r="AS21" s="4">
        <f t="shared" si="18"/>
        <v>0</v>
      </c>
      <c r="AT21" s="4">
        <f t="shared" si="19"/>
        <v>0</v>
      </c>
      <c r="AU21" s="310">
        <f>IF(Data!$H$8="x",AV21,AW21)</f>
        <v>3.4833333333333325</v>
      </c>
      <c r="AV21" s="310">
        <f t="shared" si="20"/>
        <v>1.7416666666666663</v>
      </c>
      <c r="AW21" s="313">
        <f>IF(D21="V",AW20,(AW20+"07:36"))</f>
        <v>3.4833333333333325</v>
      </c>
      <c r="AX21" s="6" t="str">
        <f t="shared" si="21"/>
        <v>Do</v>
      </c>
      <c r="AY21" s="4">
        <f>IF((R40="M4.1")*AND(R41&lt;&gt;""),VLOOKUP(R41,Barema!$BG$5:$BH$34,2),)</f>
        <v>0</v>
      </c>
      <c r="AZ21" s="4" t="s">
        <v>14</v>
      </c>
      <c r="BA21" s="102"/>
      <c r="BB21" s="2"/>
    </row>
    <row r="22" spans="1:54" x14ac:dyDescent="0.2">
      <c r="A22" s="302"/>
      <c r="B22" s="273" t="s">
        <v>169</v>
      </c>
      <c r="C22" s="311" t="s">
        <v>189</v>
      </c>
      <c r="D22" s="312"/>
      <c r="E22" s="312"/>
      <c r="F22" s="274"/>
      <c r="G22" s="274"/>
      <c r="H22" s="310"/>
      <c r="I22" s="310"/>
      <c r="J22" s="310"/>
      <c r="K22" s="310"/>
      <c r="L22" s="313">
        <f>(G22-F22)+(I22-H22)+(K22-J22)+AI22+AN22</f>
        <v>0</v>
      </c>
      <c r="M22" s="313">
        <f>M21+L22</f>
        <v>0.6333333333333333</v>
      </c>
      <c r="N22" s="313">
        <f t="shared" si="0"/>
        <v>3.7999999999999989</v>
      </c>
      <c r="O22" s="75" t="str">
        <f t="shared" si="22"/>
        <v>-</v>
      </c>
      <c r="P22" s="314">
        <f t="shared" si="23"/>
        <v>3.1666666666666656</v>
      </c>
      <c r="Q22" s="312">
        <f t="shared" si="1"/>
        <v>0</v>
      </c>
      <c r="R22" s="312">
        <f t="shared" si="2"/>
        <v>0</v>
      </c>
      <c r="S22" s="312">
        <f t="shared" si="3"/>
        <v>0</v>
      </c>
      <c r="T22" s="312">
        <f t="shared" si="4"/>
        <v>0</v>
      </c>
      <c r="U22" s="313">
        <f>IF(D22="F",L22,0)</f>
        <v>0</v>
      </c>
      <c r="V22" s="313">
        <f t="shared" si="24"/>
        <v>0</v>
      </c>
      <c r="W22" s="313">
        <f t="shared" si="25"/>
        <v>0</v>
      </c>
      <c r="X22" s="312"/>
      <c r="Y22" s="310"/>
      <c r="Z22" s="310"/>
      <c r="AA22" s="315">
        <f t="shared" si="5"/>
        <v>0</v>
      </c>
      <c r="AB22" s="315">
        <f t="shared" si="6"/>
        <v>0</v>
      </c>
      <c r="AC22" s="315">
        <f t="shared" si="26"/>
        <v>0</v>
      </c>
      <c r="AD22" s="315">
        <f t="shared" si="7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5">
        <f t="shared" si="8"/>
        <v>0</v>
      </c>
      <c r="AI22" s="123">
        <f>IF((D22&lt;&gt;""),VLOOKUP(D22,Data!$E$36:$H$53,4),)</f>
        <v>0</v>
      </c>
      <c r="AJ22" s="123">
        <f t="shared" si="9"/>
        <v>0</v>
      </c>
      <c r="AK22" s="4">
        <f t="shared" si="10"/>
        <v>0</v>
      </c>
      <c r="AL22" s="4">
        <f t="shared" si="11"/>
        <v>0</v>
      </c>
      <c r="AM22" s="1">
        <f t="shared" si="12"/>
        <v>0</v>
      </c>
      <c r="AN22" s="123">
        <f t="shared" si="13"/>
        <v>0</v>
      </c>
      <c r="AO22" s="317">
        <f t="shared" si="14"/>
        <v>0</v>
      </c>
      <c r="AP22" s="317">
        <f t="shared" si="15"/>
        <v>0</v>
      </c>
      <c r="AQ22" s="317">
        <f t="shared" si="16"/>
        <v>0</v>
      </c>
      <c r="AR22" s="317">
        <f t="shared" si="17"/>
        <v>0</v>
      </c>
      <c r="AS22" s="4">
        <f t="shared" si="18"/>
        <v>0</v>
      </c>
      <c r="AT22" s="4">
        <f t="shared" si="19"/>
        <v>0</v>
      </c>
      <c r="AU22" s="310">
        <f>IF(Data!$H$8="x",AV22,AW22)</f>
        <v>3.7999999999999989</v>
      </c>
      <c r="AV22" s="310">
        <f t="shared" si="20"/>
        <v>1.8999999999999995</v>
      </c>
      <c r="AW22" s="313">
        <f>IF(D22="V",AW21,(AW21+"07:36"))</f>
        <v>3.7999999999999989</v>
      </c>
      <c r="AX22" s="6" t="str">
        <f t="shared" si="21"/>
        <v>Vr</v>
      </c>
      <c r="AY22" s="4">
        <f>IF((R40="M4.2")*AND(R41&lt;&gt;""),VLOOKUP(R41,Barema!$BJ$5:$BK$31,2),)</f>
        <v>0</v>
      </c>
      <c r="AZ22" s="4" t="s">
        <v>15</v>
      </c>
      <c r="BA22" s="102"/>
      <c r="BB22" s="2"/>
    </row>
    <row r="23" spans="1:54" s="376" customFormat="1" x14ac:dyDescent="0.2">
      <c r="A23" s="374"/>
      <c r="B23" s="362" t="s">
        <v>171</v>
      </c>
      <c r="C23" s="363" t="s">
        <v>190</v>
      </c>
      <c r="D23" s="364"/>
      <c r="E23" s="364"/>
      <c r="F23" s="365"/>
      <c r="G23" s="365"/>
      <c r="H23" s="365"/>
      <c r="I23" s="365"/>
      <c r="J23" s="375"/>
      <c r="K23" s="375"/>
      <c r="L23" s="366">
        <f>(G23-F23)+(I23-H23)+(K23-J23)</f>
        <v>0</v>
      </c>
      <c r="M23" s="366">
        <f t="shared" ref="M23:M28" si="34">M22+L23</f>
        <v>0.6333333333333333</v>
      </c>
      <c r="N23" s="366">
        <f t="shared" si="0"/>
        <v>3.7999999999999989</v>
      </c>
      <c r="O23" s="411" t="str">
        <f t="shared" si="22"/>
        <v>-</v>
      </c>
      <c r="P23" s="367">
        <f t="shared" si="23"/>
        <v>3.1666666666666656</v>
      </c>
      <c r="Q23" s="364">
        <f t="shared" si="1"/>
        <v>0</v>
      </c>
      <c r="R23" s="364">
        <f t="shared" si="2"/>
        <v>0</v>
      </c>
      <c r="S23" s="364">
        <f t="shared" si="3"/>
        <v>0</v>
      </c>
      <c r="T23" s="364">
        <f t="shared" si="4"/>
        <v>0</v>
      </c>
      <c r="U23" s="366">
        <f>L23</f>
        <v>0</v>
      </c>
      <c r="V23" s="366">
        <f t="shared" si="24"/>
        <v>0</v>
      </c>
      <c r="W23" s="366">
        <f t="shared" si="25"/>
        <v>0</v>
      </c>
      <c r="X23" s="364"/>
      <c r="Y23" s="365"/>
      <c r="Z23" s="365"/>
      <c r="AA23" s="368">
        <f t="shared" si="5"/>
        <v>0</v>
      </c>
      <c r="AB23" s="368">
        <f t="shared" si="6"/>
        <v>0</v>
      </c>
      <c r="AC23" s="368">
        <f t="shared" si="26"/>
        <v>0</v>
      </c>
      <c r="AD23" s="368">
        <f t="shared" si="7"/>
        <v>0</v>
      </c>
      <c r="AE23" s="369">
        <f t="shared" si="27"/>
        <v>0</v>
      </c>
      <c r="AF23" s="368">
        <f t="shared" si="28"/>
        <v>0</v>
      </c>
      <c r="AG23" s="369">
        <f t="shared" si="29"/>
        <v>0</v>
      </c>
      <c r="AH23" s="368">
        <f t="shared" si="8"/>
        <v>0</v>
      </c>
      <c r="AI23" s="370">
        <f>IF((D23&lt;&gt;""),VLOOKUP(D23,Data!$E$36:$H$53,4),)</f>
        <v>0</v>
      </c>
      <c r="AJ23" s="370">
        <f t="shared" si="9"/>
        <v>0</v>
      </c>
      <c r="AK23" s="371">
        <f t="shared" si="10"/>
        <v>0</v>
      </c>
      <c r="AL23" s="371">
        <f t="shared" si="11"/>
        <v>0</v>
      </c>
      <c r="AM23" s="372">
        <f t="shared" si="12"/>
        <v>0</v>
      </c>
      <c r="AN23" s="370">
        <f t="shared" si="13"/>
        <v>0</v>
      </c>
      <c r="AO23" s="373">
        <f t="shared" si="14"/>
        <v>0</v>
      </c>
      <c r="AP23" s="373">
        <f t="shared" si="15"/>
        <v>0</v>
      </c>
      <c r="AQ23" s="373">
        <f t="shared" si="16"/>
        <v>0</v>
      </c>
      <c r="AR23" s="373">
        <f t="shared" si="17"/>
        <v>0</v>
      </c>
      <c r="AS23" s="371">
        <f t="shared" si="18"/>
        <v>0</v>
      </c>
      <c r="AT23" s="371">
        <f t="shared" si="19"/>
        <v>0</v>
      </c>
      <c r="AU23" s="365">
        <f>IF(Data!$H$8="x",AV23,AW23)</f>
        <v>3.7999999999999989</v>
      </c>
      <c r="AV23" s="365">
        <f t="shared" si="20"/>
        <v>1.8999999999999995</v>
      </c>
      <c r="AW23" s="366">
        <f>AW22</f>
        <v>3.7999999999999989</v>
      </c>
      <c r="AX23" s="362" t="str">
        <f t="shared" si="21"/>
        <v>Za</v>
      </c>
      <c r="AY23" s="371">
        <f>IF((R40="M5.1")*AND(R41&lt;&gt;""),VLOOKUP(R41,Barema!$BM$5:$BN$34,2),)</f>
        <v>0</v>
      </c>
      <c r="AZ23" s="371" t="s">
        <v>16</v>
      </c>
      <c r="BA23" s="439"/>
      <c r="BB23" s="374"/>
    </row>
    <row r="24" spans="1:54" s="376" customFormat="1" x14ac:dyDescent="0.2">
      <c r="A24" s="374"/>
      <c r="B24" s="362" t="s">
        <v>173</v>
      </c>
      <c r="C24" s="363" t="s">
        <v>191</v>
      </c>
      <c r="D24" s="364"/>
      <c r="E24" s="364"/>
      <c r="F24" s="365"/>
      <c r="G24" s="365"/>
      <c r="H24" s="365"/>
      <c r="I24" s="365"/>
      <c r="J24" s="375"/>
      <c r="K24" s="375"/>
      <c r="L24" s="366">
        <f>(G24-F24)+(I24-H24)+(K24-J24)</f>
        <v>0</v>
      </c>
      <c r="M24" s="366">
        <f t="shared" si="34"/>
        <v>0.6333333333333333</v>
      </c>
      <c r="N24" s="366">
        <f t="shared" si="0"/>
        <v>3.7999999999999989</v>
      </c>
      <c r="O24" s="411" t="str">
        <f t="shared" si="22"/>
        <v>-</v>
      </c>
      <c r="P24" s="367">
        <f t="shared" si="23"/>
        <v>3.1666666666666656</v>
      </c>
      <c r="Q24" s="364">
        <f t="shared" si="1"/>
        <v>0</v>
      </c>
      <c r="R24" s="364">
        <f t="shared" si="2"/>
        <v>0</v>
      </c>
      <c r="S24" s="364">
        <f t="shared" si="3"/>
        <v>0</v>
      </c>
      <c r="T24" s="364">
        <f t="shared" si="4"/>
        <v>0</v>
      </c>
      <c r="U24" s="366">
        <f>L24</f>
        <v>0</v>
      </c>
      <c r="V24" s="366">
        <f t="shared" si="24"/>
        <v>0</v>
      </c>
      <c r="W24" s="366">
        <f t="shared" si="25"/>
        <v>0</v>
      </c>
      <c r="X24" s="364"/>
      <c r="Y24" s="365"/>
      <c r="Z24" s="365"/>
      <c r="AA24" s="368">
        <f t="shared" si="5"/>
        <v>0</v>
      </c>
      <c r="AB24" s="368">
        <f t="shared" si="6"/>
        <v>0</v>
      </c>
      <c r="AC24" s="368">
        <f t="shared" si="26"/>
        <v>0</v>
      </c>
      <c r="AD24" s="368">
        <f t="shared" si="7"/>
        <v>0</v>
      </c>
      <c r="AE24" s="369">
        <f t="shared" si="27"/>
        <v>0</v>
      </c>
      <c r="AF24" s="368">
        <f t="shared" si="28"/>
        <v>0</v>
      </c>
      <c r="AG24" s="369">
        <f t="shared" si="29"/>
        <v>0</v>
      </c>
      <c r="AH24" s="368">
        <f t="shared" si="8"/>
        <v>0</v>
      </c>
      <c r="AI24" s="370">
        <f>IF((D24&lt;&gt;""),VLOOKUP(D24,Data!$E$36:$H$53,4),)</f>
        <v>0</v>
      </c>
      <c r="AJ24" s="370">
        <f t="shared" si="9"/>
        <v>0</v>
      </c>
      <c r="AK24" s="371">
        <f t="shared" si="10"/>
        <v>0</v>
      </c>
      <c r="AL24" s="371">
        <f t="shared" si="11"/>
        <v>0</v>
      </c>
      <c r="AM24" s="372">
        <f t="shared" si="12"/>
        <v>0</v>
      </c>
      <c r="AN24" s="370">
        <f t="shared" si="13"/>
        <v>0</v>
      </c>
      <c r="AO24" s="373">
        <f t="shared" si="14"/>
        <v>0</v>
      </c>
      <c r="AP24" s="373">
        <f t="shared" si="15"/>
        <v>0</v>
      </c>
      <c r="AQ24" s="373">
        <f t="shared" si="16"/>
        <v>0</v>
      </c>
      <c r="AR24" s="373">
        <f t="shared" si="17"/>
        <v>0</v>
      </c>
      <c r="AS24" s="371">
        <f t="shared" si="18"/>
        <v>0</v>
      </c>
      <c r="AT24" s="371">
        <f t="shared" si="19"/>
        <v>0</v>
      </c>
      <c r="AU24" s="365">
        <f>IF(Data!$H$8="x",AV24,AW24)</f>
        <v>3.7999999999999989</v>
      </c>
      <c r="AV24" s="365">
        <f t="shared" si="20"/>
        <v>1.8999999999999995</v>
      </c>
      <c r="AW24" s="366">
        <f>AW23</f>
        <v>3.7999999999999989</v>
      </c>
      <c r="AX24" s="362" t="str">
        <f t="shared" si="21"/>
        <v>Zo</v>
      </c>
      <c r="AY24" s="371">
        <f>IF((R40="M5.2")*AND(R41&lt;&gt;""),VLOOKUP(R41,Barema!$BP$5:$BQ$31,2),)</f>
        <v>0</v>
      </c>
      <c r="AZ24" s="371" t="s">
        <v>17</v>
      </c>
      <c r="BA24" s="439"/>
      <c r="BB24" s="374"/>
    </row>
    <row r="25" spans="1:54" s="378" customFormat="1" x14ac:dyDescent="0.2">
      <c r="A25" s="309"/>
      <c r="B25" s="6" t="s">
        <v>175</v>
      </c>
      <c r="C25" s="311" t="s">
        <v>192</v>
      </c>
      <c r="D25" s="312"/>
      <c r="E25" s="312"/>
      <c r="F25" s="274"/>
      <c r="G25" s="274"/>
      <c r="H25" s="310"/>
      <c r="I25" s="310"/>
      <c r="J25" s="336"/>
      <c r="K25" s="336"/>
      <c r="L25" s="313">
        <f>(G25-F25)+(I25-H25)+(K25-J25)+AI25+AN25</f>
        <v>0</v>
      </c>
      <c r="M25" s="313">
        <f t="shared" si="34"/>
        <v>0.6333333333333333</v>
      </c>
      <c r="N25" s="313">
        <f t="shared" si="0"/>
        <v>4.1166666666666654</v>
      </c>
      <c r="O25" s="75" t="str">
        <f t="shared" si="22"/>
        <v>-</v>
      </c>
      <c r="P25" s="314">
        <f t="shared" si="23"/>
        <v>3.4833333333333321</v>
      </c>
      <c r="Q25" s="312">
        <f t="shared" si="1"/>
        <v>0</v>
      </c>
      <c r="R25" s="312">
        <f t="shared" si="2"/>
        <v>0</v>
      </c>
      <c r="S25" s="312">
        <f t="shared" si="3"/>
        <v>0</v>
      </c>
      <c r="T25" s="312">
        <f t="shared" si="4"/>
        <v>0</v>
      </c>
      <c r="U25" s="313">
        <f>IF(D25="F",L25,0)</f>
        <v>0</v>
      </c>
      <c r="V25" s="313">
        <f t="shared" si="24"/>
        <v>0</v>
      </c>
      <c r="W25" s="313">
        <f t="shared" si="25"/>
        <v>0</v>
      </c>
      <c r="X25" s="312"/>
      <c r="Y25" s="310"/>
      <c r="Z25" s="310"/>
      <c r="AA25" s="315">
        <f t="shared" si="5"/>
        <v>0</v>
      </c>
      <c r="AB25" s="315">
        <f t="shared" si="6"/>
        <v>0</v>
      </c>
      <c r="AC25" s="315">
        <f t="shared" si="26"/>
        <v>0</v>
      </c>
      <c r="AD25" s="315">
        <f t="shared" si="7"/>
        <v>0</v>
      </c>
      <c r="AE25" s="316">
        <f t="shared" si="27"/>
        <v>0</v>
      </c>
      <c r="AF25" s="315">
        <f t="shared" si="28"/>
        <v>0</v>
      </c>
      <c r="AG25" s="316">
        <f t="shared" si="29"/>
        <v>0</v>
      </c>
      <c r="AH25" s="315">
        <f t="shared" si="8"/>
        <v>0</v>
      </c>
      <c r="AI25" s="123">
        <f>IF((D25&lt;&gt;""),VLOOKUP(D25,Data!$E$36:$H$53,4),)</f>
        <v>0</v>
      </c>
      <c r="AJ25" s="123">
        <f t="shared" si="9"/>
        <v>0</v>
      </c>
      <c r="AK25" s="4">
        <f t="shared" si="10"/>
        <v>0</v>
      </c>
      <c r="AL25" s="4">
        <f t="shared" si="11"/>
        <v>0</v>
      </c>
      <c r="AM25" s="1">
        <f t="shared" si="12"/>
        <v>0</v>
      </c>
      <c r="AN25" s="123">
        <f t="shared" si="13"/>
        <v>0</v>
      </c>
      <c r="AO25" s="317">
        <f t="shared" si="14"/>
        <v>0</v>
      </c>
      <c r="AP25" s="317">
        <f t="shared" si="15"/>
        <v>0</v>
      </c>
      <c r="AQ25" s="317">
        <f t="shared" si="16"/>
        <v>0</v>
      </c>
      <c r="AR25" s="317">
        <f t="shared" si="17"/>
        <v>0</v>
      </c>
      <c r="AS25" s="4">
        <f t="shared" si="18"/>
        <v>0</v>
      </c>
      <c r="AT25" s="4">
        <f t="shared" si="19"/>
        <v>0</v>
      </c>
      <c r="AU25" s="310">
        <f>IF(Data!$H$8="x",AV25,AW25)</f>
        <v>4.1166666666666654</v>
      </c>
      <c r="AV25" s="310">
        <f t="shared" si="20"/>
        <v>2.0583333333333327</v>
      </c>
      <c r="AW25" s="313">
        <f>IF(D25="V",AW24,(AW24+"07:36"))</f>
        <v>4.1166666666666654</v>
      </c>
      <c r="AX25" s="6" t="str">
        <f t="shared" si="21"/>
        <v>Ma</v>
      </c>
      <c r="AY25" s="4">
        <f>IF((R40="M6")*AND(R41&lt;&gt;""),VLOOKUP(R41,Barema!$BS$5:$BT$31,2),)</f>
        <v>0</v>
      </c>
      <c r="AZ25" s="4" t="s">
        <v>18</v>
      </c>
      <c r="BA25" s="102"/>
      <c r="BB25" s="309"/>
    </row>
    <row r="26" spans="1:54" s="335" customFormat="1" x14ac:dyDescent="0.2">
      <c r="A26" s="302"/>
      <c r="B26" s="273" t="s">
        <v>177</v>
      </c>
      <c r="C26" s="311" t="s">
        <v>193</v>
      </c>
      <c r="D26" s="312"/>
      <c r="E26" s="312"/>
      <c r="F26" s="274"/>
      <c r="G26" s="274"/>
      <c r="H26" s="310"/>
      <c r="I26" s="310"/>
      <c r="J26" s="336"/>
      <c r="K26" s="336"/>
      <c r="L26" s="313">
        <f>(G26-F26)+(I26-H26)+(K26-J26)+AI26+AN26</f>
        <v>0</v>
      </c>
      <c r="M26" s="313">
        <f t="shared" si="34"/>
        <v>0.6333333333333333</v>
      </c>
      <c r="N26" s="313">
        <f t="shared" si="0"/>
        <v>4.4333333333333318</v>
      </c>
      <c r="O26" s="75" t="str">
        <f t="shared" si="22"/>
        <v>-</v>
      </c>
      <c r="P26" s="314">
        <f t="shared" si="23"/>
        <v>3.7999999999999985</v>
      </c>
      <c r="Q26" s="312">
        <f t="shared" si="1"/>
        <v>0</v>
      </c>
      <c r="R26" s="312">
        <f t="shared" si="2"/>
        <v>0</v>
      </c>
      <c r="S26" s="312">
        <f t="shared" si="3"/>
        <v>0</v>
      </c>
      <c r="T26" s="312">
        <f t="shared" si="4"/>
        <v>0</v>
      </c>
      <c r="U26" s="313">
        <f>IF(D26="F",L26,0)</f>
        <v>0</v>
      </c>
      <c r="V26" s="313">
        <f t="shared" si="24"/>
        <v>0</v>
      </c>
      <c r="W26" s="313">
        <f t="shared" si="25"/>
        <v>0</v>
      </c>
      <c r="X26" s="312"/>
      <c r="Y26" s="310"/>
      <c r="Z26" s="310"/>
      <c r="AA26" s="315">
        <f t="shared" si="5"/>
        <v>0</v>
      </c>
      <c r="AB26" s="315">
        <f t="shared" si="6"/>
        <v>0</v>
      </c>
      <c r="AC26" s="315">
        <f t="shared" si="26"/>
        <v>0</v>
      </c>
      <c r="AD26" s="315">
        <f t="shared" si="7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8"/>
        <v>0</v>
      </c>
      <c r="AI26" s="123">
        <f>IF((D26&lt;&gt;""),VLOOKUP(D26,Data!$E$36:$H$53,4),)</f>
        <v>0</v>
      </c>
      <c r="AJ26" s="123">
        <f t="shared" si="9"/>
        <v>0</v>
      </c>
      <c r="AK26" s="4">
        <f t="shared" si="10"/>
        <v>0</v>
      </c>
      <c r="AL26" s="4">
        <f t="shared" si="11"/>
        <v>0</v>
      </c>
      <c r="AM26" s="1">
        <f t="shared" si="12"/>
        <v>0</v>
      </c>
      <c r="AN26" s="123">
        <f t="shared" si="13"/>
        <v>0</v>
      </c>
      <c r="AO26" s="317">
        <f t="shared" si="14"/>
        <v>0</v>
      </c>
      <c r="AP26" s="317">
        <f t="shared" si="15"/>
        <v>0</v>
      </c>
      <c r="AQ26" s="317">
        <f t="shared" si="16"/>
        <v>0</v>
      </c>
      <c r="AR26" s="317">
        <f t="shared" si="17"/>
        <v>0</v>
      </c>
      <c r="AS26" s="4">
        <f t="shared" si="18"/>
        <v>0</v>
      </c>
      <c r="AT26" s="4">
        <f t="shared" si="19"/>
        <v>0</v>
      </c>
      <c r="AU26" s="310">
        <f>IF(Data!$H$8="x",AV26,AW26)</f>
        <v>4.4333333333333318</v>
      </c>
      <c r="AV26" s="310">
        <f t="shared" si="20"/>
        <v>2.2166666666666659</v>
      </c>
      <c r="AW26" s="313">
        <f>IF(D26="V",AW25,(AW25+"07:36"))</f>
        <v>4.4333333333333318</v>
      </c>
      <c r="AX26" s="6" t="str">
        <f t="shared" si="21"/>
        <v>Di</v>
      </c>
      <c r="AY26" s="4">
        <f>IF((R40="M7")*AND(R41&lt;&gt;""),VLOOKUP(R41,Barema!$BV$5:$BW$31,2),)</f>
        <v>0</v>
      </c>
      <c r="AZ26" s="4" t="s">
        <v>19</v>
      </c>
      <c r="BA26" s="102"/>
      <c r="BB26" s="2"/>
    </row>
    <row r="27" spans="1:54" s="335" customFormat="1" x14ac:dyDescent="0.2">
      <c r="A27" s="302"/>
      <c r="B27" s="273" t="s">
        <v>179</v>
      </c>
      <c r="C27" s="311" t="s">
        <v>194</v>
      </c>
      <c r="D27" s="312"/>
      <c r="E27" s="312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13">
        <f t="shared" si="34"/>
        <v>0.6333333333333333</v>
      </c>
      <c r="N27" s="313">
        <f t="shared" si="0"/>
        <v>4.7499999999999982</v>
      </c>
      <c r="O27" s="75" t="str">
        <f t="shared" si="22"/>
        <v>-</v>
      </c>
      <c r="P27" s="314">
        <f t="shared" si="23"/>
        <v>4.1166666666666654</v>
      </c>
      <c r="Q27" s="312">
        <f t="shared" si="1"/>
        <v>0</v>
      </c>
      <c r="R27" s="312">
        <f t="shared" si="2"/>
        <v>0</v>
      </c>
      <c r="S27" s="312">
        <f t="shared" si="3"/>
        <v>0</v>
      </c>
      <c r="T27" s="312">
        <f t="shared" si="4"/>
        <v>0</v>
      </c>
      <c r="U27" s="313">
        <f>IF(D27="F",L27,0)</f>
        <v>0</v>
      </c>
      <c r="V27" s="313">
        <f t="shared" si="24"/>
        <v>0</v>
      </c>
      <c r="W27" s="313">
        <f t="shared" si="25"/>
        <v>0</v>
      </c>
      <c r="X27" s="312"/>
      <c r="Y27" s="310"/>
      <c r="Z27" s="310"/>
      <c r="AA27" s="315">
        <f t="shared" si="5"/>
        <v>0</v>
      </c>
      <c r="AB27" s="315">
        <f t="shared" si="6"/>
        <v>0</v>
      </c>
      <c r="AC27" s="315">
        <f t="shared" si="26"/>
        <v>0</v>
      </c>
      <c r="AD27" s="315">
        <f t="shared" si="7"/>
        <v>0</v>
      </c>
      <c r="AE27" s="316">
        <f t="shared" si="27"/>
        <v>0</v>
      </c>
      <c r="AF27" s="315">
        <f t="shared" si="28"/>
        <v>0</v>
      </c>
      <c r="AG27" s="316">
        <f t="shared" si="29"/>
        <v>0</v>
      </c>
      <c r="AH27" s="315">
        <f t="shared" si="8"/>
        <v>0</v>
      </c>
      <c r="AI27" s="123">
        <f>IF((D27&lt;&gt;""),VLOOKUP(D27,Data!$E$36:$H$53,4),)</f>
        <v>0</v>
      </c>
      <c r="AJ27" s="123">
        <f t="shared" si="9"/>
        <v>0</v>
      </c>
      <c r="AK27" s="4">
        <f t="shared" si="10"/>
        <v>0</v>
      </c>
      <c r="AL27" s="4">
        <f t="shared" si="11"/>
        <v>0</v>
      </c>
      <c r="AM27" s="1">
        <f t="shared" si="12"/>
        <v>0</v>
      </c>
      <c r="AN27" s="123">
        <f t="shared" si="13"/>
        <v>0</v>
      </c>
      <c r="AO27" s="317">
        <f t="shared" si="14"/>
        <v>0</v>
      </c>
      <c r="AP27" s="317">
        <f t="shared" si="15"/>
        <v>0</v>
      </c>
      <c r="AQ27" s="317">
        <f t="shared" si="16"/>
        <v>0</v>
      </c>
      <c r="AR27" s="317">
        <f t="shared" si="17"/>
        <v>0</v>
      </c>
      <c r="AS27" s="4">
        <f t="shared" si="18"/>
        <v>0</v>
      </c>
      <c r="AT27" s="4">
        <f t="shared" si="19"/>
        <v>0</v>
      </c>
      <c r="AU27" s="310">
        <f>IF(Data!$H$8="x",AV27,AW27)</f>
        <v>4.7499999999999982</v>
      </c>
      <c r="AV27" s="310">
        <f t="shared" si="20"/>
        <v>2.3749999999999991</v>
      </c>
      <c r="AW27" s="313">
        <f>IF(D27="V",AW26,(AW26+"07:36"))</f>
        <v>4.7499999999999982</v>
      </c>
      <c r="AX27" s="6" t="str">
        <f t="shared" si="21"/>
        <v>Wo</v>
      </c>
      <c r="AY27" s="4">
        <f>IF((R40="M7bis")*AND(R41&lt;&gt;""),VLOOKUP(R41,Barema!$BY$5:$BZ$31,2),)</f>
        <v>0</v>
      </c>
      <c r="AZ27" s="4" t="s">
        <v>20</v>
      </c>
      <c r="BA27" s="102"/>
      <c r="BB27" s="2"/>
    </row>
    <row r="28" spans="1:54" x14ac:dyDescent="0.2">
      <c r="B28" s="273" t="s">
        <v>167</v>
      </c>
      <c r="C28" s="311" t="s">
        <v>195</v>
      </c>
      <c r="D28" s="312"/>
      <c r="E28" s="312"/>
      <c r="F28" s="274"/>
      <c r="G28" s="274"/>
      <c r="H28" s="310"/>
      <c r="I28" s="310"/>
      <c r="J28" s="310"/>
      <c r="K28" s="310"/>
      <c r="L28" s="313">
        <f>(G28-F28)+(I28-H28)+(K28-J28)+AI28+AN28</f>
        <v>0</v>
      </c>
      <c r="M28" s="313">
        <f t="shared" si="34"/>
        <v>0.6333333333333333</v>
      </c>
      <c r="N28" s="313">
        <f t="shared" si="0"/>
        <v>5.0666666666666647</v>
      </c>
      <c r="O28" s="75" t="str">
        <f t="shared" si="22"/>
        <v>-</v>
      </c>
      <c r="P28" s="314">
        <f t="shared" si="23"/>
        <v>4.4333333333333318</v>
      </c>
      <c r="Q28" s="312">
        <f t="shared" si="1"/>
        <v>0</v>
      </c>
      <c r="R28" s="312">
        <f t="shared" si="2"/>
        <v>0</v>
      </c>
      <c r="S28" s="312">
        <f t="shared" si="3"/>
        <v>0</v>
      </c>
      <c r="T28" s="312">
        <f t="shared" si="4"/>
        <v>0</v>
      </c>
      <c r="U28" s="313">
        <f>IF(D28="F",L28,0)</f>
        <v>0</v>
      </c>
      <c r="V28" s="313">
        <f t="shared" si="24"/>
        <v>0</v>
      </c>
      <c r="W28" s="313">
        <f t="shared" si="25"/>
        <v>0</v>
      </c>
      <c r="X28" s="312"/>
      <c r="Y28" s="310"/>
      <c r="Z28" s="310"/>
      <c r="AA28" s="315">
        <f t="shared" si="5"/>
        <v>0</v>
      </c>
      <c r="AB28" s="315">
        <f t="shared" si="6"/>
        <v>0</v>
      </c>
      <c r="AC28" s="315">
        <f t="shared" si="26"/>
        <v>0</v>
      </c>
      <c r="AD28" s="315">
        <f t="shared" si="7"/>
        <v>0</v>
      </c>
      <c r="AE28" s="316">
        <f t="shared" si="27"/>
        <v>0</v>
      </c>
      <c r="AF28" s="315">
        <f t="shared" si="28"/>
        <v>0</v>
      </c>
      <c r="AG28" s="316">
        <f t="shared" si="29"/>
        <v>0</v>
      </c>
      <c r="AH28" s="315">
        <f t="shared" si="8"/>
        <v>0</v>
      </c>
      <c r="AI28" s="123">
        <f>IF((D28&lt;&gt;""),VLOOKUP(D28,Data!$E$36:$H$53,4),)</f>
        <v>0</v>
      </c>
      <c r="AJ28" s="123">
        <f t="shared" si="9"/>
        <v>0</v>
      </c>
      <c r="AK28" s="4">
        <f t="shared" si="10"/>
        <v>0</v>
      </c>
      <c r="AL28" s="4">
        <f t="shared" si="11"/>
        <v>0</v>
      </c>
      <c r="AM28" s="1">
        <f t="shared" si="12"/>
        <v>0</v>
      </c>
      <c r="AN28" s="123">
        <f t="shared" si="13"/>
        <v>0</v>
      </c>
      <c r="AO28" s="317">
        <f t="shared" si="14"/>
        <v>0</v>
      </c>
      <c r="AP28" s="317">
        <f t="shared" si="15"/>
        <v>0</v>
      </c>
      <c r="AQ28" s="317">
        <f t="shared" si="16"/>
        <v>0</v>
      </c>
      <c r="AR28" s="317">
        <f t="shared" si="17"/>
        <v>0</v>
      </c>
      <c r="AS28" s="4">
        <f t="shared" si="18"/>
        <v>0</v>
      </c>
      <c r="AT28" s="4">
        <f t="shared" si="19"/>
        <v>0</v>
      </c>
      <c r="AU28" s="310">
        <f>IF(Data!$H$8="x",AV28,AW28)</f>
        <v>5.0666666666666647</v>
      </c>
      <c r="AV28" s="310">
        <f t="shared" si="20"/>
        <v>2.5333333333333323</v>
      </c>
      <c r="AW28" s="313">
        <f>IF(D28="V",AW27,(AW27+"07:36"))</f>
        <v>5.0666666666666647</v>
      </c>
      <c r="AX28" s="6" t="str">
        <f t="shared" si="21"/>
        <v>Do</v>
      </c>
      <c r="AY28" s="4">
        <f>IF((R40="O1")*AND(R41&lt;&gt;""),VLOOKUP(R41,Barema!$Q$39:$R$65,2),)</f>
        <v>0</v>
      </c>
      <c r="AZ28" s="4" t="s">
        <v>21</v>
      </c>
      <c r="BA28" s="102"/>
      <c r="BB28" s="2"/>
    </row>
    <row r="29" spans="1:54" x14ac:dyDescent="0.2">
      <c r="B29" s="273" t="s">
        <v>169</v>
      </c>
      <c r="C29" s="311" t="s">
        <v>196</v>
      </c>
      <c r="D29" s="312"/>
      <c r="E29" s="312"/>
      <c r="F29" s="274"/>
      <c r="G29" s="274"/>
      <c r="H29" s="310"/>
      <c r="I29" s="310"/>
      <c r="J29" s="310"/>
      <c r="K29" s="310"/>
      <c r="L29" s="313">
        <f>(G29-F29)+(I29-H29)+(K29-J29)+AI29+AN29</f>
        <v>0</v>
      </c>
      <c r="M29" s="313">
        <f>M28+L29</f>
        <v>0.6333333333333333</v>
      </c>
      <c r="N29" s="313">
        <f t="shared" si="0"/>
        <v>5.3833333333333311</v>
      </c>
      <c r="O29" s="75" t="str">
        <f t="shared" si="22"/>
        <v>-</v>
      </c>
      <c r="P29" s="314">
        <f t="shared" si="23"/>
        <v>4.7499999999999982</v>
      </c>
      <c r="Q29" s="312">
        <f t="shared" si="1"/>
        <v>0</v>
      </c>
      <c r="R29" s="312">
        <f t="shared" si="2"/>
        <v>0</v>
      </c>
      <c r="S29" s="312">
        <f t="shared" si="3"/>
        <v>0</v>
      </c>
      <c r="T29" s="312">
        <f t="shared" si="4"/>
        <v>0</v>
      </c>
      <c r="U29" s="313">
        <f>IF(D29="F",L29,0)</f>
        <v>0</v>
      </c>
      <c r="V29" s="313">
        <f t="shared" si="24"/>
        <v>0</v>
      </c>
      <c r="W29" s="313">
        <f t="shared" si="25"/>
        <v>0</v>
      </c>
      <c r="X29" s="312"/>
      <c r="Y29" s="310"/>
      <c r="Z29" s="310"/>
      <c r="AA29" s="315">
        <f t="shared" si="5"/>
        <v>0</v>
      </c>
      <c r="AB29" s="315">
        <f t="shared" si="6"/>
        <v>0</v>
      </c>
      <c r="AC29" s="315">
        <f t="shared" si="26"/>
        <v>0</v>
      </c>
      <c r="AD29" s="315">
        <f t="shared" si="7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5">
        <f t="shared" si="8"/>
        <v>0</v>
      </c>
      <c r="AI29" s="123">
        <f>IF((D29&lt;&gt;""),VLOOKUP(D29,Data!$E$36:$H$53,4),)</f>
        <v>0</v>
      </c>
      <c r="AJ29" s="123">
        <f t="shared" si="9"/>
        <v>0</v>
      </c>
      <c r="AK29" s="4">
        <f t="shared" si="10"/>
        <v>0</v>
      </c>
      <c r="AL29" s="4">
        <f t="shared" si="11"/>
        <v>0</v>
      </c>
      <c r="AM29" s="1">
        <f t="shared" si="12"/>
        <v>0</v>
      </c>
      <c r="AN29" s="123">
        <f t="shared" si="13"/>
        <v>0</v>
      </c>
      <c r="AO29" s="317">
        <f t="shared" si="14"/>
        <v>0</v>
      </c>
      <c r="AP29" s="317">
        <f t="shared" si="15"/>
        <v>0</v>
      </c>
      <c r="AQ29" s="317">
        <f t="shared" si="16"/>
        <v>0</v>
      </c>
      <c r="AR29" s="317">
        <f t="shared" si="17"/>
        <v>0</v>
      </c>
      <c r="AS29" s="4">
        <f t="shared" si="18"/>
        <v>0</v>
      </c>
      <c r="AT29" s="4">
        <f t="shared" si="19"/>
        <v>0</v>
      </c>
      <c r="AU29" s="310">
        <f>IF(Data!$H$8="x",AV29,AW29)</f>
        <v>5.3833333333333311</v>
      </c>
      <c r="AV29" s="310">
        <f t="shared" si="20"/>
        <v>2.6916666666666655</v>
      </c>
      <c r="AW29" s="313">
        <f>IF(D29="V",AW28,(AW28+"07:36"))</f>
        <v>5.3833333333333311</v>
      </c>
      <c r="AX29" s="6" t="str">
        <f t="shared" si="21"/>
        <v>Vr</v>
      </c>
      <c r="AY29" s="4">
        <f>IF((R40="O2")*AND(R41&lt;&gt;""),VLOOKUP(R41,Barema!$T$39:$U$65,2),)</f>
        <v>0</v>
      </c>
      <c r="AZ29" s="4" t="s">
        <v>22</v>
      </c>
      <c r="BA29" s="102"/>
      <c r="BB29" s="2"/>
    </row>
    <row r="30" spans="1:54" s="376" customFormat="1" x14ac:dyDescent="0.2">
      <c r="A30" s="374"/>
      <c r="B30" s="362" t="s">
        <v>171</v>
      </c>
      <c r="C30" s="363" t="s">
        <v>197</v>
      </c>
      <c r="D30" s="364"/>
      <c r="E30" s="364"/>
      <c r="F30" s="365"/>
      <c r="G30" s="365"/>
      <c r="H30" s="365"/>
      <c r="I30" s="365"/>
      <c r="J30" s="375"/>
      <c r="K30" s="375"/>
      <c r="L30" s="366">
        <f>(G30-F30)+(I30-H30)+(K30-J30)</f>
        <v>0</v>
      </c>
      <c r="M30" s="366">
        <f t="shared" ref="M30:M35" si="35">M29+L30</f>
        <v>0.6333333333333333</v>
      </c>
      <c r="N30" s="366">
        <f t="shared" si="0"/>
        <v>5.3833333333333311</v>
      </c>
      <c r="O30" s="411" t="str">
        <f t="shared" si="22"/>
        <v>-</v>
      </c>
      <c r="P30" s="367">
        <f t="shared" si="23"/>
        <v>4.7499999999999982</v>
      </c>
      <c r="Q30" s="364">
        <f t="shared" si="1"/>
        <v>0</v>
      </c>
      <c r="R30" s="364">
        <f t="shared" si="2"/>
        <v>0</v>
      </c>
      <c r="S30" s="364">
        <f t="shared" si="3"/>
        <v>0</v>
      </c>
      <c r="T30" s="364">
        <f t="shared" si="4"/>
        <v>0</v>
      </c>
      <c r="U30" s="366">
        <f>L30</f>
        <v>0</v>
      </c>
      <c r="V30" s="366">
        <f t="shared" si="24"/>
        <v>0</v>
      </c>
      <c r="W30" s="366">
        <f t="shared" si="25"/>
        <v>0</v>
      </c>
      <c r="X30" s="364"/>
      <c r="Y30" s="365"/>
      <c r="Z30" s="365"/>
      <c r="AA30" s="368">
        <f t="shared" si="5"/>
        <v>0</v>
      </c>
      <c r="AB30" s="368">
        <f t="shared" si="6"/>
        <v>0</v>
      </c>
      <c r="AC30" s="368">
        <f t="shared" si="26"/>
        <v>0</v>
      </c>
      <c r="AD30" s="368">
        <f t="shared" si="7"/>
        <v>0</v>
      </c>
      <c r="AE30" s="369">
        <f t="shared" si="27"/>
        <v>0</v>
      </c>
      <c r="AF30" s="368">
        <f t="shared" si="28"/>
        <v>0</v>
      </c>
      <c r="AG30" s="369">
        <f t="shared" si="29"/>
        <v>0</v>
      </c>
      <c r="AH30" s="368">
        <f t="shared" si="8"/>
        <v>0</v>
      </c>
      <c r="AI30" s="370">
        <f>IF((D30&lt;&gt;""),VLOOKUP(D30,Data!$E$36:$H$53,4),)</f>
        <v>0</v>
      </c>
      <c r="AJ30" s="370">
        <f t="shared" si="9"/>
        <v>0</v>
      </c>
      <c r="AK30" s="371">
        <f t="shared" si="10"/>
        <v>0</v>
      </c>
      <c r="AL30" s="371">
        <f t="shared" si="11"/>
        <v>0</v>
      </c>
      <c r="AM30" s="372">
        <f t="shared" si="12"/>
        <v>0</v>
      </c>
      <c r="AN30" s="370">
        <f t="shared" si="13"/>
        <v>0</v>
      </c>
      <c r="AO30" s="373">
        <f t="shared" si="14"/>
        <v>0</v>
      </c>
      <c r="AP30" s="373">
        <f t="shared" si="15"/>
        <v>0</v>
      </c>
      <c r="AQ30" s="373">
        <f t="shared" si="16"/>
        <v>0</v>
      </c>
      <c r="AR30" s="373">
        <f t="shared" si="17"/>
        <v>0</v>
      </c>
      <c r="AS30" s="371">
        <f t="shared" si="18"/>
        <v>0</v>
      </c>
      <c r="AT30" s="371">
        <f t="shared" si="19"/>
        <v>0</v>
      </c>
      <c r="AU30" s="365">
        <f>IF(Data!$H$8="x",AV30,AW30)</f>
        <v>5.3833333333333311</v>
      </c>
      <c r="AV30" s="365">
        <f t="shared" si="20"/>
        <v>2.6916666666666655</v>
      </c>
      <c r="AW30" s="366">
        <f>AW29</f>
        <v>5.3833333333333311</v>
      </c>
      <c r="AX30" s="362" t="str">
        <f t="shared" si="21"/>
        <v>Za</v>
      </c>
      <c r="AY30" s="371">
        <f>IF((R40="O2ir")*AND(R41&lt;&gt;""),VLOOKUP(R41,Barema!$AR$39:$AS$65,2),)</f>
        <v>0</v>
      </c>
      <c r="AZ30" s="371" t="s">
        <v>30</v>
      </c>
      <c r="BA30" s="439"/>
      <c r="BB30" s="374"/>
    </row>
    <row r="31" spans="1:54" s="376" customFormat="1" x14ac:dyDescent="0.2">
      <c r="A31" s="374"/>
      <c r="B31" s="362" t="s">
        <v>173</v>
      </c>
      <c r="C31" s="363" t="s">
        <v>198</v>
      </c>
      <c r="D31" s="364"/>
      <c r="E31" s="364"/>
      <c r="F31" s="365"/>
      <c r="G31" s="365"/>
      <c r="H31" s="365"/>
      <c r="I31" s="365"/>
      <c r="J31" s="375"/>
      <c r="K31" s="375"/>
      <c r="L31" s="366">
        <f>(G31-F31)+(I31-H31)+(K31-J31)</f>
        <v>0</v>
      </c>
      <c r="M31" s="366">
        <f t="shared" si="35"/>
        <v>0.6333333333333333</v>
      </c>
      <c r="N31" s="366">
        <f t="shared" si="0"/>
        <v>5.3833333333333311</v>
      </c>
      <c r="O31" s="411" t="str">
        <f t="shared" si="22"/>
        <v>-</v>
      </c>
      <c r="P31" s="367">
        <f t="shared" si="23"/>
        <v>4.7499999999999982</v>
      </c>
      <c r="Q31" s="364">
        <f t="shared" si="1"/>
        <v>0</v>
      </c>
      <c r="R31" s="364">
        <f t="shared" si="2"/>
        <v>0</v>
      </c>
      <c r="S31" s="364">
        <f t="shared" si="3"/>
        <v>0</v>
      </c>
      <c r="T31" s="364">
        <f t="shared" si="4"/>
        <v>0</v>
      </c>
      <c r="U31" s="366">
        <f>L31</f>
        <v>0</v>
      </c>
      <c r="V31" s="366">
        <f t="shared" si="24"/>
        <v>0</v>
      </c>
      <c r="W31" s="366">
        <f t="shared" si="25"/>
        <v>0</v>
      </c>
      <c r="X31" s="364"/>
      <c r="Y31" s="365"/>
      <c r="Z31" s="365"/>
      <c r="AA31" s="368">
        <f t="shared" si="5"/>
        <v>0</v>
      </c>
      <c r="AB31" s="368">
        <f t="shared" si="6"/>
        <v>0</v>
      </c>
      <c r="AC31" s="368">
        <f t="shared" si="26"/>
        <v>0</v>
      </c>
      <c r="AD31" s="368">
        <f t="shared" si="7"/>
        <v>0</v>
      </c>
      <c r="AE31" s="369">
        <f t="shared" si="27"/>
        <v>0</v>
      </c>
      <c r="AF31" s="368">
        <f t="shared" si="28"/>
        <v>0</v>
      </c>
      <c r="AG31" s="369">
        <f t="shared" si="29"/>
        <v>0</v>
      </c>
      <c r="AH31" s="368">
        <f t="shared" si="8"/>
        <v>0</v>
      </c>
      <c r="AI31" s="370">
        <f>IF((D31&lt;&gt;""),VLOOKUP(D31,Data!$E$36:$H$53,4),)</f>
        <v>0</v>
      </c>
      <c r="AJ31" s="370">
        <f t="shared" si="9"/>
        <v>0</v>
      </c>
      <c r="AK31" s="371">
        <f t="shared" si="10"/>
        <v>0</v>
      </c>
      <c r="AL31" s="371">
        <f t="shared" si="11"/>
        <v>0</v>
      </c>
      <c r="AM31" s="372">
        <f t="shared" si="12"/>
        <v>0</v>
      </c>
      <c r="AN31" s="370">
        <f t="shared" si="13"/>
        <v>0</v>
      </c>
      <c r="AO31" s="373">
        <f t="shared" si="14"/>
        <v>0</v>
      </c>
      <c r="AP31" s="373">
        <f t="shared" si="15"/>
        <v>0</v>
      </c>
      <c r="AQ31" s="373">
        <f t="shared" si="16"/>
        <v>0</v>
      </c>
      <c r="AR31" s="373">
        <f t="shared" si="17"/>
        <v>0</v>
      </c>
      <c r="AS31" s="371">
        <f t="shared" si="18"/>
        <v>0</v>
      </c>
      <c r="AT31" s="371">
        <f t="shared" si="19"/>
        <v>0</v>
      </c>
      <c r="AU31" s="365">
        <f>IF(Data!$H$8="x",AV31,AW31)</f>
        <v>5.3833333333333311</v>
      </c>
      <c r="AV31" s="365">
        <f t="shared" si="20"/>
        <v>2.6916666666666655</v>
      </c>
      <c r="AW31" s="366">
        <f>AW30</f>
        <v>5.3833333333333311</v>
      </c>
      <c r="AX31" s="362" t="str">
        <f t="shared" si="21"/>
        <v>Zo</v>
      </c>
      <c r="AY31" s="371">
        <f>IF((R40="O3")*AND(R41&lt;&gt;""),VLOOKUP(R41,Barema!$W$39:$X$65,2),)</f>
        <v>40663.03</v>
      </c>
      <c r="AZ31" s="371" t="s">
        <v>23</v>
      </c>
      <c r="BA31" s="439"/>
      <c r="BB31" s="374"/>
    </row>
    <row r="32" spans="1:54" s="378" customFormat="1" x14ac:dyDescent="0.2">
      <c r="A32" s="309"/>
      <c r="B32" s="6" t="s">
        <v>175</v>
      </c>
      <c r="C32" s="311" t="s">
        <v>199</v>
      </c>
      <c r="D32" s="312"/>
      <c r="E32" s="312"/>
      <c r="F32" s="274"/>
      <c r="G32" s="274"/>
      <c r="H32" s="310"/>
      <c r="I32" s="310"/>
      <c r="J32" s="336"/>
      <c r="K32" s="336"/>
      <c r="L32" s="313">
        <f>(G32-F32)+(I32-H32)+(K32-J32)+AI32+AN32</f>
        <v>0</v>
      </c>
      <c r="M32" s="313">
        <f t="shared" si="35"/>
        <v>0.6333333333333333</v>
      </c>
      <c r="N32" s="313">
        <f t="shared" si="0"/>
        <v>5.6999999999999975</v>
      </c>
      <c r="O32" s="75" t="str">
        <f t="shared" si="22"/>
        <v>-</v>
      </c>
      <c r="P32" s="314">
        <f t="shared" si="23"/>
        <v>5.0666666666666647</v>
      </c>
      <c r="Q32" s="312">
        <f t="shared" si="1"/>
        <v>0</v>
      </c>
      <c r="R32" s="312">
        <f t="shared" si="2"/>
        <v>0</v>
      </c>
      <c r="S32" s="312">
        <f t="shared" si="3"/>
        <v>0</v>
      </c>
      <c r="T32" s="312">
        <f t="shared" si="4"/>
        <v>0</v>
      </c>
      <c r="U32" s="313">
        <f>IF(D32="F",L32,0)</f>
        <v>0</v>
      </c>
      <c r="V32" s="313">
        <f t="shared" si="24"/>
        <v>0</v>
      </c>
      <c r="W32" s="313">
        <f t="shared" si="25"/>
        <v>0</v>
      </c>
      <c r="X32" s="312"/>
      <c r="Y32" s="310"/>
      <c r="Z32" s="310"/>
      <c r="AA32" s="315">
        <f t="shared" si="5"/>
        <v>0</v>
      </c>
      <c r="AB32" s="315">
        <f t="shared" si="6"/>
        <v>0</v>
      </c>
      <c r="AC32" s="315">
        <f t="shared" si="26"/>
        <v>0</v>
      </c>
      <c r="AD32" s="315">
        <f t="shared" si="7"/>
        <v>0</v>
      </c>
      <c r="AE32" s="316">
        <f t="shared" si="27"/>
        <v>0</v>
      </c>
      <c r="AF32" s="315">
        <f t="shared" si="28"/>
        <v>0</v>
      </c>
      <c r="AG32" s="316">
        <f t="shared" si="29"/>
        <v>0</v>
      </c>
      <c r="AH32" s="315">
        <f t="shared" si="8"/>
        <v>0</v>
      </c>
      <c r="AI32" s="123">
        <f>IF((D32&lt;&gt;""),VLOOKUP(D32,Data!$E$36:$H$53,4),)</f>
        <v>0</v>
      </c>
      <c r="AJ32" s="123">
        <f t="shared" si="9"/>
        <v>0</v>
      </c>
      <c r="AK32" s="4">
        <f t="shared" si="10"/>
        <v>0</v>
      </c>
      <c r="AL32" s="4">
        <f t="shared" si="11"/>
        <v>0</v>
      </c>
      <c r="AM32" s="1">
        <f t="shared" si="12"/>
        <v>0</v>
      </c>
      <c r="AN32" s="123">
        <f t="shared" si="13"/>
        <v>0</v>
      </c>
      <c r="AO32" s="317">
        <f t="shared" si="14"/>
        <v>0</v>
      </c>
      <c r="AP32" s="317">
        <f t="shared" si="15"/>
        <v>0</v>
      </c>
      <c r="AQ32" s="317">
        <f t="shared" si="16"/>
        <v>0</v>
      </c>
      <c r="AR32" s="317">
        <f t="shared" si="17"/>
        <v>0</v>
      </c>
      <c r="AS32" s="4">
        <f t="shared" si="18"/>
        <v>0</v>
      </c>
      <c r="AT32" s="4">
        <f t="shared" si="19"/>
        <v>0</v>
      </c>
      <c r="AU32" s="310">
        <f>IF(Data!$H$8="x",AV32,AW32)</f>
        <v>5.6999999999999975</v>
      </c>
      <c r="AV32" s="310">
        <f t="shared" si="20"/>
        <v>2.8499999999999988</v>
      </c>
      <c r="AW32" s="313">
        <f>IF(D32="V",AW31,(AW31+"07:36"))</f>
        <v>5.6999999999999975</v>
      </c>
      <c r="AX32" s="6" t="str">
        <f t="shared" si="21"/>
        <v>Ma</v>
      </c>
      <c r="AY32" s="4">
        <f>IF((R40="O3ir")*AND(R41&lt;&gt;""),VLOOKUP(R41,Barema!$AU$39:$AV$65,2),)</f>
        <v>0</v>
      </c>
      <c r="AZ32" s="4" t="s">
        <v>31</v>
      </c>
      <c r="BA32" s="102"/>
      <c r="BB32" s="309"/>
    </row>
    <row r="33" spans="1:55" s="335" customFormat="1" x14ac:dyDescent="0.2">
      <c r="A33" s="302"/>
      <c r="B33" s="273" t="s">
        <v>177</v>
      </c>
      <c r="C33" s="311" t="s">
        <v>200</v>
      </c>
      <c r="D33" s="312"/>
      <c r="E33" s="312"/>
      <c r="F33" s="274"/>
      <c r="G33" s="274"/>
      <c r="H33" s="310"/>
      <c r="I33" s="310"/>
      <c r="J33" s="336"/>
      <c r="K33" s="336"/>
      <c r="L33" s="313">
        <f>(G33-F33)+(I33-H33)+(K33-J33)+AI33+AN33</f>
        <v>0</v>
      </c>
      <c r="M33" s="313">
        <f t="shared" si="35"/>
        <v>0.6333333333333333</v>
      </c>
      <c r="N33" s="313">
        <f t="shared" si="0"/>
        <v>6.0166666666666639</v>
      </c>
      <c r="O33" s="75" t="str">
        <f t="shared" si="22"/>
        <v>-</v>
      </c>
      <c r="P33" s="314">
        <f t="shared" si="23"/>
        <v>5.3833333333333311</v>
      </c>
      <c r="Q33" s="312">
        <f t="shared" si="1"/>
        <v>0</v>
      </c>
      <c r="R33" s="312">
        <f t="shared" si="2"/>
        <v>0</v>
      </c>
      <c r="S33" s="312">
        <f t="shared" si="3"/>
        <v>0</v>
      </c>
      <c r="T33" s="312">
        <f t="shared" si="4"/>
        <v>0</v>
      </c>
      <c r="U33" s="313">
        <f>IF(D33="F",L33,0)</f>
        <v>0</v>
      </c>
      <c r="V33" s="313">
        <f t="shared" si="24"/>
        <v>0</v>
      </c>
      <c r="W33" s="313">
        <f t="shared" si="25"/>
        <v>0</v>
      </c>
      <c r="X33" s="312"/>
      <c r="Y33" s="310"/>
      <c r="Z33" s="310"/>
      <c r="AA33" s="315">
        <f t="shared" si="5"/>
        <v>0</v>
      </c>
      <c r="AB33" s="315">
        <f t="shared" si="6"/>
        <v>0</v>
      </c>
      <c r="AC33" s="315">
        <f t="shared" si="26"/>
        <v>0</v>
      </c>
      <c r="AD33" s="315">
        <f t="shared" si="7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8"/>
        <v>0</v>
      </c>
      <c r="AI33" s="123">
        <f>IF((D33&lt;&gt;""),VLOOKUP(D33,Data!$E$36:$H$53,4),)</f>
        <v>0</v>
      </c>
      <c r="AJ33" s="123">
        <f t="shared" si="9"/>
        <v>0</v>
      </c>
      <c r="AK33" s="4">
        <f t="shared" si="10"/>
        <v>0</v>
      </c>
      <c r="AL33" s="4">
        <f t="shared" si="11"/>
        <v>0</v>
      </c>
      <c r="AM33" s="1">
        <f t="shared" si="12"/>
        <v>0</v>
      </c>
      <c r="AN33" s="123">
        <f t="shared" si="13"/>
        <v>0</v>
      </c>
      <c r="AO33" s="317">
        <f t="shared" si="14"/>
        <v>0</v>
      </c>
      <c r="AP33" s="317">
        <f t="shared" si="15"/>
        <v>0</v>
      </c>
      <c r="AQ33" s="317">
        <f t="shared" si="16"/>
        <v>0</v>
      </c>
      <c r="AR33" s="317">
        <f t="shared" si="17"/>
        <v>0</v>
      </c>
      <c r="AS33" s="4">
        <f t="shared" si="18"/>
        <v>0</v>
      </c>
      <c r="AT33" s="4">
        <f t="shared" si="19"/>
        <v>0</v>
      </c>
      <c r="AU33" s="310">
        <f>IF(Data!$H$8="x",AV33,AW33)</f>
        <v>6.0166666666666639</v>
      </c>
      <c r="AV33" s="310">
        <f t="shared" si="20"/>
        <v>3.008333333333332</v>
      </c>
      <c r="AW33" s="313">
        <f>IF(D33="V",AW32,(AW32+"07:36"))</f>
        <v>6.0166666666666639</v>
      </c>
      <c r="AX33" s="6" t="str">
        <f t="shared" si="21"/>
        <v>Di</v>
      </c>
      <c r="AY33" s="4">
        <f>IF((R40="O4")*AND(R41&lt;&gt;""),VLOOKUP(R41,Barema!$Z$39:$AA$65,2),)</f>
        <v>0</v>
      </c>
      <c r="AZ33" s="4" t="s">
        <v>24</v>
      </c>
      <c r="BA33" s="102"/>
      <c r="BB33" s="2"/>
    </row>
    <row r="34" spans="1:55" s="335" customFormat="1" x14ac:dyDescent="0.2">
      <c r="A34" s="302"/>
      <c r="B34" s="273" t="s">
        <v>179</v>
      </c>
      <c r="C34" s="311" t="s">
        <v>201</v>
      </c>
      <c r="D34" s="312"/>
      <c r="E34" s="312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13">
        <f t="shared" si="35"/>
        <v>0.6333333333333333</v>
      </c>
      <c r="N34" s="313">
        <f t="shared" si="0"/>
        <v>6.3333333333333304</v>
      </c>
      <c r="O34" s="75" t="str">
        <f t="shared" si="22"/>
        <v>-</v>
      </c>
      <c r="P34" s="314">
        <f t="shared" si="23"/>
        <v>5.6999999999999975</v>
      </c>
      <c r="Q34" s="312">
        <f t="shared" si="1"/>
        <v>0</v>
      </c>
      <c r="R34" s="312">
        <f t="shared" si="2"/>
        <v>0</v>
      </c>
      <c r="S34" s="312">
        <f t="shared" si="3"/>
        <v>0</v>
      </c>
      <c r="T34" s="312">
        <f t="shared" si="4"/>
        <v>0</v>
      </c>
      <c r="U34" s="313">
        <f>IF(D34="F",L34,0)</f>
        <v>0</v>
      </c>
      <c r="V34" s="313">
        <f t="shared" si="24"/>
        <v>0</v>
      </c>
      <c r="W34" s="313">
        <f t="shared" si="25"/>
        <v>0</v>
      </c>
      <c r="X34" s="312"/>
      <c r="Y34" s="310"/>
      <c r="Z34" s="310"/>
      <c r="AA34" s="315">
        <f t="shared" si="5"/>
        <v>0</v>
      </c>
      <c r="AB34" s="315">
        <f t="shared" si="6"/>
        <v>0</v>
      </c>
      <c r="AC34" s="315">
        <f t="shared" si="26"/>
        <v>0</v>
      </c>
      <c r="AD34" s="315">
        <f t="shared" si="7"/>
        <v>0</v>
      </c>
      <c r="AE34" s="316">
        <f t="shared" si="27"/>
        <v>0</v>
      </c>
      <c r="AF34" s="315">
        <f t="shared" si="28"/>
        <v>0</v>
      </c>
      <c r="AG34" s="316">
        <f t="shared" si="29"/>
        <v>0</v>
      </c>
      <c r="AH34" s="315">
        <f t="shared" si="8"/>
        <v>0</v>
      </c>
      <c r="AI34" s="123">
        <f>IF((D34&lt;&gt;""),VLOOKUP(D34,Data!$E$36:$H$53,4),)</f>
        <v>0</v>
      </c>
      <c r="AJ34" s="123">
        <f t="shared" si="9"/>
        <v>0</v>
      </c>
      <c r="AK34" s="4">
        <f t="shared" si="10"/>
        <v>0</v>
      </c>
      <c r="AL34" s="4">
        <f t="shared" si="11"/>
        <v>0</v>
      </c>
      <c r="AM34" s="1">
        <f t="shared" si="12"/>
        <v>0</v>
      </c>
      <c r="AN34" s="123">
        <f t="shared" si="13"/>
        <v>0</v>
      </c>
      <c r="AO34" s="317">
        <f t="shared" si="14"/>
        <v>0</v>
      </c>
      <c r="AP34" s="317">
        <f t="shared" si="15"/>
        <v>0</v>
      </c>
      <c r="AQ34" s="317">
        <f t="shared" si="16"/>
        <v>0</v>
      </c>
      <c r="AR34" s="317">
        <f t="shared" si="17"/>
        <v>0</v>
      </c>
      <c r="AS34" s="4">
        <f t="shared" si="18"/>
        <v>0</v>
      </c>
      <c r="AT34" s="4">
        <f t="shared" si="19"/>
        <v>0</v>
      </c>
      <c r="AU34" s="310">
        <f>IF(Data!$H$8="x",AV34,AW34)</f>
        <v>6.3333333333333304</v>
      </c>
      <c r="AV34" s="310">
        <f t="shared" si="20"/>
        <v>3.1666666666666652</v>
      </c>
      <c r="AW34" s="313">
        <f>IF(D34="V",AW33,(AW33+"07:36"))</f>
        <v>6.3333333333333304</v>
      </c>
      <c r="AX34" s="6" t="str">
        <f t="shared" si="21"/>
        <v>Wo</v>
      </c>
      <c r="AY34" s="4">
        <f>IF((R40="O4bis")*AND(R41&lt;&gt;""),VLOOKUP(R41,Barema!$BG$39:$BH$65,2),)</f>
        <v>0</v>
      </c>
      <c r="AZ34" s="4" t="s">
        <v>35</v>
      </c>
      <c r="BA34" s="102"/>
      <c r="BB34" s="2"/>
    </row>
    <row r="35" spans="1:55" x14ac:dyDescent="0.2">
      <c r="B35" s="273" t="s">
        <v>167</v>
      </c>
      <c r="C35" s="311" t="s">
        <v>202</v>
      </c>
      <c r="D35" s="312"/>
      <c r="E35" s="312"/>
      <c r="F35" s="274"/>
      <c r="G35" s="274"/>
      <c r="H35" s="310"/>
      <c r="I35" s="310"/>
      <c r="J35" s="310"/>
      <c r="K35" s="310"/>
      <c r="L35" s="313">
        <f>(G35-F35)+(I35-H35)+(K35-J35)+AI35+AN35</f>
        <v>0</v>
      </c>
      <c r="M35" s="313">
        <f t="shared" si="35"/>
        <v>0.6333333333333333</v>
      </c>
      <c r="N35" s="313">
        <f t="shared" si="0"/>
        <v>6.6499999999999968</v>
      </c>
      <c r="O35" s="75" t="str">
        <f t="shared" si="22"/>
        <v>-</v>
      </c>
      <c r="P35" s="314">
        <f t="shared" si="23"/>
        <v>6.0166666666666639</v>
      </c>
      <c r="Q35" s="312">
        <f t="shared" si="1"/>
        <v>0</v>
      </c>
      <c r="R35" s="312">
        <f t="shared" si="2"/>
        <v>0</v>
      </c>
      <c r="S35" s="312">
        <f t="shared" si="3"/>
        <v>0</v>
      </c>
      <c r="T35" s="312">
        <f t="shared" si="4"/>
        <v>0</v>
      </c>
      <c r="U35" s="313">
        <f>IF(D35="F",L35,0)</f>
        <v>0</v>
      </c>
      <c r="V35" s="313">
        <f t="shared" si="24"/>
        <v>0</v>
      </c>
      <c r="W35" s="313">
        <f t="shared" si="25"/>
        <v>0</v>
      </c>
      <c r="X35" s="312"/>
      <c r="Y35" s="310"/>
      <c r="Z35" s="310"/>
      <c r="AA35" s="315">
        <f t="shared" si="5"/>
        <v>0</v>
      </c>
      <c r="AB35" s="315">
        <f t="shared" si="6"/>
        <v>0</v>
      </c>
      <c r="AC35" s="315">
        <f t="shared" si="26"/>
        <v>0</v>
      </c>
      <c r="AD35" s="315">
        <f t="shared" si="7"/>
        <v>0</v>
      </c>
      <c r="AE35" s="316">
        <f t="shared" si="27"/>
        <v>0</v>
      </c>
      <c r="AF35" s="315">
        <f t="shared" si="28"/>
        <v>0</v>
      </c>
      <c r="AG35" s="316">
        <f t="shared" si="29"/>
        <v>0</v>
      </c>
      <c r="AH35" s="315">
        <f t="shared" si="8"/>
        <v>0</v>
      </c>
      <c r="AI35" s="123">
        <f>IF((D35&lt;&gt;""),VLOOKUP(D35,Data!$E$36:$H$53,4),)</f>
        <v>0</v>
      </c>
      <c r="AJ35" s="123">
        <f t="shared" si="9"/>
        <v>0</v>
      </c>
      <c r="AK35" s="4">
        <f t="shared" si="10"/>
        <v>0</v>
      </c>
      <c r="AL35" s="4">
        <f t="shared" si="11"/>
        <v>0</v>
      </c>
      <c r="AM35" s="1">
        <f t="shared" si="12"/>
        <v>0</v>
      </c>
      <c r="AN35" s="123">
        <f t="shared" si="13"/>
        <v>0</v>
      </c>
      <c r="AO35" s="317">
        <f t="shared" si="14"/>
        <v>0</v>
      </c>
      <c r="AP35" s="317">
        <f t="shared" si="15"/>
        <v>0</v>
      </c>
      <c r="AQ35" s="317">
        <f t="shared" si="16"/>
        <v>0</v>
      </c>
      <c r="AR35" s="317">
        <f t="shared" si="17"/>
        <v>0</v>
      </c>
      <c r="AS35" s="4">
        <f t="shared" si="18"/>
        <v>0</v>
      </c>
      <c r="AT35" s="4">
        <f t="shared" si="19"/>
        <v>0</v>
      </c>
      <c r="AU35" s="310">
        <f>IF(Data!$H$8="x",AV35,AW35)</f>
        <v>6.6499999999999968</v>
      </c>
      <c r="AV35" s="310">
        <f t="shared" si="20"/>
        <v>3.3249999999999984</v>
      </c>
      <c r="AW35" s="313">
        <f>IF(D35="V",AW34,(AW34+"07:36"))</f>
        <v>6.6499999999999968</v>
      </c>
      <c r="AX35" s="6" t="str">
        <f t="shared" si="21"/>
        <v>Do</v>
      </c>
      <c r="AY35" s="4">
        <f>IF((R40="O4bis-ir")*AND(R41&lt;&gt;""),VLOOKUP(R41,Barema!$AO$39:$AP$65,2),)</f>
        <v>0</v>
      </c>
      <c r="AZ35" s="4" t="s">
        <v>29</v>
      </c>
      <c r="BA35" s="102"/>
      <c r="BB35" s="2"/>
    </row>
    <row r="36" spans="1:55" x14ac:dyDescent="0.2">
      <c r="B36" s="273" t="s">
        <v>169</v>
      </c>
      <c r="C36" s="311" t="s">
        <v>203</v>
      </c>
      <c r="D36" s="312"/>
      <c r="E36" s="312"/>
      <c r="F36" s="274"/>
      <c r="G36" s="274"/>
      <c r="H36" s="310"/>
      <c r="I36" s="310"/>
      <c r="J36" s="310"/>
      <c r="K36" s="310"/>
      <c r="L36" s="313">
        <f>(G36-F36)+(I36-H36)+(K36-J36)+AI36+AN36</f>
        <v>0</v>
      </c>
      <c r="M36" s="313">
        <f>M35+L36</f>
        <v>0.6333333333333333</v>
      </c>
      <c r="N36" s="313">
        <f t="shared" si="0"/>
        <v>6.9666666666666632</v>
      </c>
      <c r="O36" s="75" t="str">
        <f t="shared" si="22"/>
        <v>-</v>
      </c>
      <c r="P36" s="314">
        <f t="shared" si="23"/>
        <v>6.3333333333333304</v>
      </c>
      <c r="Q36" s="312">
        <f t="shared" si="1"/>
        <v>0</v>
      </c>
      <c r="R36" s="312">
        <f t="shared" si="2"/>
        <v>0</v>
      </c>
      <c r="S36" s="312">
        <f t="shared" si="3"/>
        <v>0</v>
      </c>
      <c r="T36" s="312">
        <f t="shared" si="4"/>
        <v>0</v>
      </c>
      <c r="U36" s="313">
        <f>IF(D36="F",L36,0)</f>
        <v>0</v>
      </c>
      <c r="V36" s="313">
        <f t="shared" si="24"/>
        <v>0</v>
      </c>
      <c r="W36" s="313">
        <f t="shared" si="25"/>
        <v>0</v>
      </c>
      <c r="X36" s="312"/>
      <c r="Y36" s="310"/>
      <c r="Z36" s="310"/>
      <c r="AA36" s="315">
        <f t="shared" si="5"/>
        <v>0</v>
      </c>
      <c r="AB36" s="315">
        <f t="shared" si="6"/>
        <v>0</v>
      </c>
      <c r="AC36" s="315">
        <f t="shared" si="26"/>
        <v>0</v>
      </c>
      <c r="AD36" s="315">
        <f t="shared" si="7"/>
        <v>0</v>
      </c>
      <c r="AE36" s="316">
        <f t="shared" si="27"/>
        <v>0</v>
      </c>
      <c r="AF36" s="315">
        <f t="shared" si="28"/>
        <v>0</v>
      </c>
      <c r="AG36" s="316">
        <f t="shared" si="29"/>
        <v>0</v>
      </c>
      <c r="AH36" s="315">
        <f t="shared" si="8"/>
        <v>0</v>
      </c>
      <c r="AI36" s="123">
        <f>IF((D36&lt;&gt;""),VLOOKUP(D36,Data!$E$36:$H$53,4),)</f>
        <v>0</v>
      </c>
      <c r="AJ36" s="123">
        <f>IF(U36&gt;0,U36,0)</f>
        <v>0</v>
      </c>
      <c r="AK36" s="4">
        <f t="shared" si="10"/>
        <v>0</v>
      </c>
      <c r="AL36" s="4">
        <f t="shared" si="11"/>
        <v>0</v>
      </c>
      <c r="AM36" s="1">
        <f t="shared" si="12"/>
        <v>0</v>
      </c>
      <c r="AN36" s="123">
        <f t="shared" si="13"/>
        <v>0</v>
      </c>
      <c r="AO36" s="317">
        <f t="shared" si="14"/>
        <v>0</v>
      </c>
      <c r="AP36" s="317">
        <f t="shared" si="15"/>
        <v>0</v>
      </c>
      <c r="AQ36" s="317">
        <f t="shared" si="16"/>
        <v>0</v>
      </c>
      <c r="AR36" s="317">
        <f t="shared" si="17"/>
        <v>0</v>
      </c>
      <c r="AS36" s="4">
        <f t="shared" si="18"/>
        <v>0</v>
      </c>
      <c r="AT36" s="4">
        <f t="shared" si="19"/>
        <v>0</v>
      </c>
      <c r="AU36" s="310">
        <f>IF(Data!$H$8="x",AV36,AW36)</f>
        <v>6.9666666666666632</v>
      </c>
      <c r="AV36" s="310">
        <f t="shared" si="20"/>
        <v>3.4833333333333316</v>
      </c>
      <c r="AW36" s="313">
        <f>IF(D36="V",AW35,(AW35+"07:36"))</f>
        <v>6.9666666666666632</v>
      </c>
      <c r="AX36" s="6" t="str">
        <f t="shared" si="21"/>
        <v>Vr</v>
      </c>
      <c r="AY36" s="4">
        <f>IF((R40="O4ir")*AND(R41&lt;&gt;""),VLOOKUP(R41,Barema!$AX$39:$AY$65,2),)</f>
        <v>0</v>
      </c>
      <c r="AZ36" s="4" t="s">
        <v>32</v>
      </c>
      <c r="BA36" s="102"/>
      <c r="BB36" s="2"/>
    </row>
    <row r="37" spans="1:55" s="376" customFormat="1" x14ac:dyDescent="0.2">
      <c r="A37" s="374"/>
      <c r="B37" s="362" t="s">
        <v>171</v>
      </c>
      <c r="C37" s="363" t="s">
        <v>204</v>
      </c>
      <c r="D37" s="364"/>
      <c r="E37" s="364"/>
      <c r="F37" s="365"/>
      <c r="G37" s="365"/>
      <c r="H37" s="365"/>
      <c r="I37" s="365"/>
      <c r="J37" s="375"/>
      <c r="K37" s="375"/>
      <c r="L37" s="366">
        <f>(G37-F37)+(I37-H37)+(K37-J37)</f>
        <v>0</v>
      </c>
      <c r="M37" s="366">
        <f>M36+L37</f>
        <v>0.6333333333333333</v>
      </c>
      <c r="N37" s="366">
        <f t="shared" si="0"/>
        <v>6.9666666666666632</v>
      </c>
      <c r="O37" s="411" t="str">
        <f t="shared" si="22"/>
        <v>-</v>
      </c>
      <c r="P37" s="367">
        <f t="shared" si="23"/>
        <v>6.3333333333333304</v>
      </c>
      <c r="Q37" s="364">
        <f t="shared" si="1"/>
        <v>0</v>
      </c>
      <c r="R37" s="364">
        <f t="shared" si="2"/>
        <v>0</v>
      </c>
      <c r="S37" s="364">
        <f t="shared" si="3"/>
        <v>0</v>
      </c>
      <c r="T37" s="364">
        <f t="shared" si="4"/>
        <v>0</v>
      </c>
      <c r="U37" s="366">
        <f>L37</f>
        <v>0</v>
      </c>
      <c r="V37" s="366">
        <f t="shared" si="24"/>
        <v>0</v>
      </c>
      <c r="W37" s="366">
        <f t="shared" si="25"/>
        <v>0</v>
      </c>
      <c r="X37" s="364"/>
      <c r="Y37" s="365"/>
      <c r="Z37" s="365"/>
      <c r="AA37" s="368">
        <f t="shared" si="5"/>
        <v>0</v>
      </c>
      <c r="AB37" s="368">
        <f t="shared" si="6"/>
        <v>0</v>
      </c>
      <c r="AC37" s="368">
        <f t="shared" si="26"/>
        <v>0</v>
      </c>
      <c r="AD37" s="368">
        <f t="shared" si="7"/>
        <v>0</v>
      </c>
      <c r="AE37" s="369">
        <f t="shared" si="27"/>
        <v>0</v>
      </c>
      <c r="AF37" s="368">
        <f t="shared" si="28"/>
        <v>0</v>
      </c>
      <c r="AG37" s="369">
        <f t="shared" si="29"/>
        <v>0</v>
      </c>
      <c r="AH37" s="368">
        <f t="shared" si="8"/>
        <v>0</v>
      </c>
      <c r="AI37" s="370">
        <f>IF((D37&lt;&gt;""),VLOOKUP(D37,Data!$E$36:$H$53,4),)</f>
        <v>0</v>
      </c>
      <c r="AJ37" s="370">
        <f>IF(U37&gt;0,L37,0)</f>
        <v>0</v>
      </c>
      <c r="AK37" s="371">
        <f t="shared" si="10"/>
        <v>0</v>
      </c>
      <c r="AL37" s="371">
        <f t="shared" si="11"/>
        <v>0</v>
      </c>
      <c r="AM37" s="372">
        <f t="shared" si="12"/>
        <v>0</v>
      </c>
      <c r="AN37" s="370">
        <f t="shared" si="13"/>
        <v>0</v>
      </c>
      <c r="AO37" s="373">
        <f t="shared" si="14"/>
        <v>0</v>
      </c>
      <c r="AP37" s="373">
        <f t="shared" si="15"/>
        <v>0</v>
      </c>
      <c r="AQ37" s="373">
        <f t="shared" si="16"/>
        <v>0</v>
      </c>
      <c r="AR37" s="373">
        <f t="shared" si="17"/>
        <v>0</v>
      </c>
      <c r="AS37" s="371">
        <f t="shared" si="18"/>
        <v>0</v>
      </c>
      <c r="AT37" s="371">
        <f t="shared" si="19"/>
        <v>0</v>
      </c>
      <c r="AU37" s="365">
        <f>IF(Data!$H$8="x",AV37,AW37)</f>
        <v>6.9666666666666632</v>
      </c>
      <c r="AV37" s="365">
        <f t="shared" si="20"/>
        <v>3.4833333333333316</v>
      </c>
      <c r="AW37" s="366">
        <f>AW36</f>
        <v>6.9666666666666632</v>
      </c>
      <c r="AX37" s="362" t="str">
        <f t="shared" si="21"/>
        <v>Za</v>
      </c>
      <c r="AY37" s="371">
        <f>IF((R40="O5")*AND(R41&lt;&gt;""),VLOOKUP(R41,Barema!$AC$39:$AD$65,2),)</f>
        <v>0</v>
      </c>
      <c r="AZ37" s="371" t="s">
        <v>25</v>
      </c>
      <c r="BA37" s="439"/>
      <c r="BB37" s="374"/>
    </row>
    <row r="38" spans="1:55" x14ac:dyDescent="0.2">
      <c r="AB38" s="299">
        <f t="shared" ref="AB38:AI38" si="36">SUM(AA7:AA37)</f>
        <v>0</v>
      </c>
      <c r="AC38" s="299">
        <f t="shared" si="36"/>
        <v>0</v>
      </c>
      <c r="AD38" s="299">
        <f t="shared" si="36"/>
        <v>0</v>
      </c>
      <c r="AE38" s="299">
        <f t="shared" si="36"/>
        <v>0</v>
      </c>
      <c r="AF38" s="299">
        <f t="shared" si="36"/>
        <v>0</v>
      </c>
      <c r="AG38" s="299">
        <f t="shared" si="36"/>
        <v>0</v>
      </c>
      <c r="AH38" s="299">
        <f t="shared" si="36"/>
        <v>0</v>
      </c>
      <c r="AI38" s="299">
        <f t="shared" si="36"/>
        <v>0</v>
      </c>
      <c r="AJ38" s="299"/>
      <c r="AK38" s="299">
        <f>SUM(AJ7:AJ37)</f>
        <v>0</v>
      </c>
      <c r="AL38" s="303"/>
      <c r="AM38" s="300">
        <f>SUM(AL7:AL37)+AT38</f>
        <v>0</v>
      </c>
      <c r="AN38" s="301"/>
      <c r="AO38" s="299"/>
      <c r="AP38" s="300">
        <f>SUM(AO7:AO37)</f>
        <v>0</v>
      </c>
      <c r="AQ38" s="300">
        <f>SUM(AP7:AP37)</f>
        <v>0</v>
      </c>
      <c r="AR38" s="300">
        <f>SUM(AQ7:AQ37)</f>
        <v>0</v>
      </c>
      <c r="AS38" s="300">
        <f>SUM(AR7:AR37)</f>
        <v>0</v>
      </c>
      <c r="AT38" s="300">
        <f>SUM(AS7:AS37)</f>
        <v>0</v>
      </c>
      <c r="AU38" s="300">
        <f>SUM(AT7:AT37)+AT38</f>
        <v>0</v>
      </c>
      <c r="AV38" s="301"/>
      <c r="AW38" s="301"/>
      <c r="AX38" s="303"/>
      <c r="AY38" s="4">
        <f>IF((R40="O5ir")*AND(R41&lt;&gt;""),VLOOKUP(R41,Barema!$BA$39:$BB$65,2),)</f>
        <v>0</v>
      </c>
      <c r="AZ38" s="4" t="s">
        <v>33</v>
      </c>
      <c r="BB38" s="4"/>
      <c r="BC38" s="2"/>
    </row>
    <row r="39" spans="1:55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299">
        <f t="shared" ref="AB39:AI39" si="37">IF((MINUTE(AB38)&gt;=30),(AB38+0.041666667),AB38)</f>
        <v>0</v>
      </c>
      <c r="AC39" s="299">
        <f t="shared" si="37"/>
        <v>0</v>
      </c>
      <c r="AD39" s="299">
        <f t="shared" si="37"/>
        <v>0</v>
      </c>
      <c r="AE39" s="299">
        <f t="shared" si="37"/>
        <v>0</v>
      </c>
      <c r="AF39" s="299">
        <f t="shared" si="37"/>
        <v>0</v>
      </c>
      <c r="AG39" s="299">
        <f t="shared" si="37"/>
        <v>0</v>
      </c>
      <c r="AH39" s="299">
        <f t="shared" si="37"/>
        <v>0</v>
      </c>
      <c r="AI39" s="299">
        <f t="shared" si="37"/>
        <v>0</v>
      </c>
      <c r="AJ39" s="299"/>
      <c r="AK39" s="299">
        <f>IF((MINUTE(AK38)&gt;=30),(AK38+0.041666667),AK38)</f>
        <v>0</v>
      </c>
      <c r="AL39" s="303"/>
      <c r="AM39" s="304">
        <f>AM38*(6.7*AA40)</f>
        <v>0</v>
      </c>
      <c r="AN39" s="301">
        <f>SUM(AM7:AM37)</f>
        <v>0</v>
      </c>
      <c r="AO39" s="299"/>
      <c r="AP39" s="300"/>
      <c r="AQ39" s="300"/>
      <c r="AR39" s="300"/>
      <c r="AS39" s="300"/>
      <c r="AT39" s="300"/>
      <c r="AU39" s="300"/>
      <c r="AV39" s="301"/>
      <c r="AW39" s="301"/>
      <c r="AX39" s="303"/>
      <c r="AY39" s="4">
        <f>IF((R40="O6")*AND(R41&lt;&gt;""),VLOOKUP(R41,Barema!$AF$39:$AG$65,2),)</f>
        <v>0</v>
      </c>
      <c r="AZ39" s="4" t="s">
        <v>26</v>
      </c>
      <c r="BB39" s="4"/>
      <c r="BC39" s="2"/>
    </row>
    <row r="40" spans="1:55" x14ac:dyDescent="0.2">
      <c r="C40" s="42" t="s">
        <v>207</v>
      </c>
      <c r="D40" s="43"/>
      <c r="E40" s="43"/>
      <c r="F40" s="43"/>
      <c r="G40" s="44"/>
      <c r="H40" s="28">
        <f>36+Data!I55</f>
        <v>36</v>
      </c>
      <c r="J40" s="9" t="s">
        <v>208</v>
      </c>
      <c r="K40" s="10"/>
      <c r="L40" s="11"/>
      <c r="M40" s="10"/>
      <c r="N40" s="10"/>
      <c r="O40" s="10"/>
      <c r="P40" s="11"/>
      <c r="Q40" s="11"/>
      <c r="R40" s="441" t="s">
        <v>23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8">IF(MINUTE(AB39)&gt;0,FLOOR(AB39,0.041666667),AB39)</f>
        <v>0</v>
      </c>
      <c r="AC40" s="123">
        <f t="shared" si="38"/>
        <v>0</v>
      </c>
      <c r="AD40" s="123">
        <f t="shared" si="38"/>
        <v>0</v>
      </c>
      <c r="AE40" s="123">
        <f t="shared" si="38"/>
        <v>0</v>
      </c>
      <c r="AF40" s="123">
        <f t="shared" si="38"/>
        <v>0</v>
      </c>
      <c r="AG40" s="123">
        <f t="shared" si="38"/>
        <v>0</v>
      </c>
      <c r="AH40" s="123">
        <f t="shared" si="38"/>
        <v>0</v>
      </c>
      <c r="AI40" s="123">
        <f t="shared" si="38"/>
        <v>0</v>
      </c>
      <c r="AJ40" s="123"/>
      <c r="AK40" s="140">
        <f>IF(MINUTE(AK39)&gt;0,FLOOR(AK39,0.041666667),AK39)</f>
        <v>0</v>
      </c>
      <c r="AL40" s="4"/>
      <c r="AM40" s="4"/>
      <c r="AO40" s="123"/>
      <c r="AP40" s="4"/>
      <c r="AQ40" s="4"/>
      <c r="AR40" s="4"/>
      <c r="AS40" s="4"/>
      <c r="AT40" s="4"/>
      <c r="AU40" s="4"/>
      <c r="AY40" s="4">
        <f>IF((R40="O6ir")*AND(R41&lt;&gt;""),VLOOKUP(R41,Barema!$BD$39:$BE$65,2),)</f>
        <v>0</v>
      </c>
      <c r="AZ40" s="4" t="s">
        <v>34</v>
      </c>
      <c r="BB40" s="4"/>
      <c r="BC40" s="2"/>
    </row>
    <row r="41" spans="1:55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212</v>
      </c>
      <c r="K41" s="13"/>
      <c r="L41" s="14"/>
      <c r="M41" s="13"/>
      <c r="N41" s="13"/>
      <c r="O41" s="13"/>
      <c r="P41" s="14"/>
      <c r="Q41" s="14"/>
      <c r="R41" s="443">
        <v>30</v>
      </c>
      <c r="S41" s="444"/>
      <c r="T41" s="328">
        <f>AY55</f>
        <v>40663.03</v>
      </c>
      <c r="U41" s="330"/>
      <c r="V41" s="331"/>
      <c r="W41" s="318"/>
      <c r="X41" s="318"/>
      <c r="Z41" s="1"/>
      <c r="AA41" s="1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4"/>
      <c r="BC41" s="2"/>
    </row>
    <row r="42" spans="1:55" ht="13.5" thickTop="1" x14ac:dyDescent="0.2">
      <c r="C42" s="308" t="s">
        <v>695</v>
      </c>
      <c r="D42" s="24"/>
      <c r="E42" s="24"/>
      <c r="F42" s="24"/>
      <c r="G42" s="145" t="s">
        <v>211</v>
      </c>
      <c r="H42" s="28">
        <f>AN39</f>
        <v>0</v>
      </c>
      <c r="J42" s="15" t="s">
        <v>213</v>
      </c>
      <c r="K42" s="4"/>
      <c r="L42" s="63"/>
      <c r="M42" s="275">
        <f>AK40</f>
        <v>0</v>
      </c>
      <c r="N42" s="24" t="s">
        <v>214</v>
      </c>
      <c r="O42" s="54"/>
      <c r="P42" s="1"/>
      <c r="Q42" s="63"/>
      <c r="R42" s="1"/>
      <c r="S42" s="15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78" t="s">
        <v>217</v>
      </c>
      <c r="AG42" s="10"/>
      <c r="AH42" s="86">
        <f>X41*1.2434/1850</f>
        <v>0</v>
      </c>
      <c r="AI42" s="4"/>
      <c r="AK42" s="78">
        <f>(T41*Z40)/1850</f>
        <v>46.648188415675676</v>
      </c>
      <c r="AL42" s="10" t="s">
        <v>218</v>
      </c>
      <c r="AM42" s="10"/>
      <c r="AN42" s="10" t="s">
        <v>219</v>
      </c>
      <c r="AO42" s="89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4"/>
      <c r="BC42" s="2"/>
    </row>
    <row r="43" spans="1:55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K43" s="4"/>
      <c r="L43" s="4"/>
      <c r="M43" s="141">
        <f>AF40</f>
        <v>0</v>
      </c>
      <c r="N43" s="2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E43" s="4" t="e">
        <f>M45*78</f>
        <v>#VALUE!</v>
      </c>
      <c r="AF43" s="32"/>
      <c r="AG43" s="62" t="s">
        <v>122</v>
      </c>
      <c r="AH43" s="90">
        <f>AH42*0.9645*AK49/100*1.45</f>
        <v>0</v>
      </c>
      <c r="AI43" s="4"/>
      <c r="AK43" s="197">
        <f>(AK42*0.9645)*AK49/100</f>
        <v>20.921362643017424</v>
      </c>
      <c r="AL43" s="17" t="s">
        <v>223</v>
      </c>
      <c r="AM43" s="17"/>
      <c r="AN43" s="39"/>
      <c r="AO43" s="40"/>
      <c r="AP43" s="4"/>
      <c r="AQ43" s="4"/>
      <c r="AR43" s="4"/>
      <c r="AS43" s="4"/>
      <c r="AT43" s="4"/>
      <c r="AU43" s="4"/>
      <c r="AY43" s="17">
        <f>IF((R40="HAU4")*AND(R41&lt;&gt;""),VLOOKUP(R41,Barema!$BJ$39:$BK$65,2),)</f>
        <v>0</v>
      </c>
      <c r="AZ43" s="17" t="s">
        <v>705</v>
      </c>
      <c r="BB43" s="4"/>
      <c r="BC43" s="2"/>
    </row>
    <row r="44" spans="1:55" x14ac:dyDescent="0.2">
      <c r="C44" s="45"/>
      <c r="D44" s="46"/>
      <c r="E44" s="46"/>
      <c r="F44" s="46"/>
      <c r="G44" s="47"/>
      <c r="H44" s="51"/>
      <c r="J44" s="15" t="s">
        <v>228</v>
      </c>
      <c r="K44" s="4"/>
      <c r="L44" s="4"/>
      <c r="M44" s="141">
        <f>AG40</f>
        <v>0</v>
      </c>
      <c r="N44" s="2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53.5</v>
      </c>
      <c r="Z44" s="138"/>
      <c r="AB44" s="4">
        <f>COUNTIF(AK7:AK37,"2")</f>
        <v>0</v>
      </c>
      <c r="AE44" s="4" t="e">
        <f>M46*23</f>
        <v>#VALUE!</v>
      </c>
      <c r="AF44" s="38"/>
      <c r="AG44" s="17" t="s">
        <v>225</v>
      </c>
      <c r="AH44" s="83">
        <f>(W41*1.2434/1850)*0.009645*AK49</f>
        <v>0</v>
      </c>
      <c r="AI44" s="4"/>
      <c r="AK44" s="4">
        <v>1.24</v>
      </c>
      <c r="AL44" s="4" t="s">
        <v>226</v>
      </c>
      <c r="AM44" s="4"/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4"/>
      <c r="BC44" s="2"/>
    </row>
    <row r="45" spans="1:55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IF(AH49=2,COUNTIF(Q7:Q37,"1"),"")</f>
        <v/>
      </c>
      <c r="N45" s="24"/>
      <c r="O45" s="4"/>
      <c r="P45" s="1"/>
      <c r="Q45" s="1"/>
      <c r="R45" s="1"/>
      <c r="S45" s="15"/>
      <c r="T45" s="54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M45" s="4"/>
      <c r="AP45" s="4"/>
      <c r="AQ45" s="4"/>
      <c r="AR45" s="4"/>
      <c r="AS45" s="4"/>
      <c r="AT45" s="4"/>
      <c r="AU45" s="4"/>
      <c r="AY45" s="17">
        <f>IF((R40="BAGP2")*AND(R41&lt;&gt;""),VLOOKUP(R41,Barema!$T$5:$U$31,2),)</f>
        <v>0</v>
      </c>
      <c r="AZ45" s="4" t="s">
        <v>711</v>
      </c>
      <c r="BB45" s="4"/>
      <c r="BC45" s="2"/>
    </row>
    <row r="46" spans="1:55" x14ac:dyDescent="0.2">
      <c r="I46" s="4"/>
      <c r="J46" s="15" t="str">
        <f>IF(Jan!AH49=2,"Avondmaal","")</f>
        <v/>
      </c>
      <c r="K46" s="4"/>
      <c r="L46" s="1"/>
      <c r="M46" s="65" t="str">
        <f>IF(AH49=2,COUNTIF(R7:R37,"1"),"")</f>
        <v/>
      </c>
      <c r="N46" s="24"/>
      <c r="O46" s="4"/>
      <c r="P46" s="1"/>
      <c r="Q46" s="1"/>
      <c r="R46" s="1"/>
      <c r="S46" s="15"/>
      <c r="T46" s="54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AA46" s="1"/>
      <c r="AB46" s="4" t="s">
        <v>229</v>
      </c>
      <c r="AC46" s="4"/>
      <c r="AD46" s="4"/>
      <c r="AE46" s="4"/>
      <c r="AF46" s="4"/>
      <c r="AG46" s="4"/>
      <c r="AH46" s="4"/>
      <c r="AI46" s="4"/>
      <c r="AK46" s="4">
        <v>2.48</v>
      </c>
      <c r="AL46" s="4" t="s">
        <v>162</v>
      </c>
      <c r="AM46" s="4"/>
      <c r="AP46" s="4"/>
      <c r="AQ46" s="4"/>
      <c r="AR46" s="4"/>
      <c r="AS46" s="4"/>
      <c r="AT46" s="4"/>
      <c r="AU46" s="4"/>
      <c r="AY46" s="17">
        <f>IF((R40="BAGP3")*AND(R41&lt;&gt;""),VLOOKUP(R41,Barema!$W$5:$X$31,2),)</f>
        <v>0</v>
      </c>
      <c r="AZ46" s="4" t="s">
        <v>712</v>
      </c>
      <c r="BB46" s="4"/>
      <c r="BC46" s="2"/>
    </row>
    <row r="47" spans="1:55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L47" s="103"/>
      <c r="M47" s="65" t="str">
        <f>IF(AH49=2,COUNTIF(S7:S37,"1"),"")</f>
        <v/>
      </c>
      <c r="N47" s="24"/>
      <c r="O47" s="4"/>
      <c r="P47" s="4"/>
      <c r="Q47" s="4"/>
      <c r="R47" s="19"/>
      <c r="S47" s="4"/>
      <c r="T47" s="80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F47" s="4"/>
      <c r="AG47" s="4"/>
      <c r="AH47" s="333" t="s">
        <v>700</v>
      </c>
      <c r="AI47" s="4"/>
      <c r="AK47" s="4">
        <v>1.74</v>
      </c>
      <c r="AL47" s="4" t="s">
        <v>233</v>
      </c>
      <c r="AM47" s="4"/>
      <c r="AP47" s="4"/>
      <c r="AQ47" s="4"/>
      <c r="AR47" s="4"/>
      <c r="AS47" s="4"/>
      <c r="AT47" s="4"/>
      <c r="AU47" s="4"/>
      <c r="AY47" s="17">
        <f>IF((R40="BAGP4")*AND(R41&lt;&gt;""),VLOOKUP(R41,Barema!$BJ$39:$BK$65,2),)</f>
        <v>0</v>
      </c>
      <c r="AZ47" s="4" t="s">
        <v>713</v>
      </c>
      <c r="BB47" s="4"/>
      <c r="BC47" s="2"/>
    </row>
    <row r="48" spans="1:55" x14ac:dyDescent="0.2">
      <c r="C48" s="24" t="s">
        <v>234</v>
      </c>
      <c r="G48" s="298"/>
      <c r="H48" s="92" t="s">
        <v>690</v>
      </c>
      <c r="J48" s="15" t="str">
        <f>IF(Jan!AH49=2,"Morgenmaal","")</f>
        <v/>
      </c>
      <c r="L48" s="103"/>
      <c r="M48" s="65" t="str">
        <f>IF(AH49=2,COUNTIF(T7:T37,"1"),"")</f>
        <v/>
      </c>
      <c r="N48" s="24"/>
      <c r="O48" s="4"/>
      <c r="P48" s="4"/>
      <c r="Q48" s="4"/>
      <c r="R48" s="19"/>
      <c r="S48" s="4"/>
      <c r="T48" s="80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F48" s="4"/>
      <c r="AG48" s="4"/>
      <c r="AH48" s="334" t="s">
        <v>701</v>
      </c>
      <c r="AI48" s="4"/>
      <c r="AK48" s="4">
        <f>VLOOKUP(AS48,Data!$F$80:$H$91,3)</f>
        <v>53.5</v>
      </c>
      <c r="AL48" s="4" t="s">
        <v>235</v>
      </c>
      <c r="AP48" s="256">
        <f>T41*Z40</f>
        <v>86299.148568999997</v>
      </c>
      <c r="AQ48" s="2">
        <f>AP48*0.075</f>
        <v>6472.4361426749992</v>
      </c>
      <c r="AR48" s="2">
        <f>AP48*0.0355</f>
        <v>3063.6197741994997</v>
      </c>
      <c r="AS48" s="142">
        <f>AP48-AQ48-AR48</f>
        <v>76763.092652125502</v>
      </c>
      <c r="AY48" s="17">
        <f>IF((R40="BASP1")*AND(R41&lt;&gt;""),VLOOKUP(R41,Barema!$BM$39:$BN$69,2),)</f>
        <v>0</v>
      </c>
      <c r="AZ48" s="4" t="s">
        <v>706</v>
      </c>
      <c r="BB48" s="4"/>
      <c r="BC48" s="2"/>
    </row>
    <row r="49" spans="3:55" x14ac:dyDescent="0.2">
      <c r="J49" s="15" t="s">
        <v>238</v>
      </c>
      <c r="K49" s="4"/>
      <c r="L49" s="4"/>
      <c r="M49" s="141">
        <f>IF(AND(G48="x",O37="+",AB47&gt;=0),AB51,0)</f>
        <v>0</v>
      </c>
      <c r="N49" s="24" t="s">
        <v>214</v>
      </c>
      <c r="O49" s="54"/>
      <c r="P49" s="1"/>
      <c r="Q49" s="1"/>
      <c r="R49" s="1"/>
      <c r="S49" s="15"/>
      <c r="T49" s="54"/>
      <c r="U49" s="325">
        <f>(M49*AK43/0.041666667)</f>
        <v>0</v>
      </c>
      <c r="V49" s="19" t="s">
        <v>215</v>
      </c>
      <c r="W49" s="106"/>
      <c r="X49" s="1"/>
      <c r="AB49" s="8">
        <f>HOUR(AD47)*0.041666667</f>
        <v>0</v>
      </c>
      <c r="AD49" s="4"/>
      <c r="AF49" s="4"/>
      <c r="AG49" s="4"/>
      <c r="AH49" s="102">
        <v>1</v>
      </c>
      <c r="AI49" s="4"/>
      <c r="AK49" s="62">
        <f>100-AK48</f>
        <v>46.5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4"/>
      <c r="BC49" s="2"/>
    </row>
    <row r="50" spans="3:55" x14ac:dyDescent="0.2">
      <c r="C50" s="4" t="s">
        <v>237</v>
      </c>
      <c r="F50" s="4"/>
      <c r="G50" s="4"/>
      <c r="J50" s="15" t="s">
        <v>240</v>
      </c>
      <c r="K50" s="4"/>
      <c r="L50" s="4"/>
      <c r="M50" s="118">
        <f>AM38</f>
        <v>0</v>
      </c>
      <c r="N50" s="24" t="s">
        <v>241</v>
      </c>
      <c r="O50" s="80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B50" s="4">
        <f>AD47-AB49</f>
        <v>0</v>
      </c>
      <c r="AF50" s="4"/>
      <c r="AG50" s="4"/>
      <c r="AH50" s="4"/>
      <c r="AI50" s="4"/>
      <c r="AL50" s="4"/>
      <c r="AY50" s="17">
        <f>IF((R40="BASP3")*AND(R41&lt;&gt;""),VLOOKUP(R41,Barema!$BS$39:$BT$69,2),)</f>
        <v>0</v>
      </c>
      <c r="AZ50" s="4" t="s">
        <v>708</v>
      </c>
      <c r="BB50" s="4"/>
      <c r="BC50" s="2"/>
    </row>
    <row r="51" spans="3:55" x14ac:dyDescent="0.2">
      <c r="C51" s="4" t="s">
        <v>239</v>
      </c>
      <c r="F51" s="4"/>
      <c r="G51" s="133">
        <v>0</v>
      </c>
      <c r="J51" s="15" t="s">
        <v>244</v>
      </c>
      <c r="K51" s="4"/>
      <c r="L51" s="4"/>
      <c r="M51" s="119">
        <f>SUM(X7:X37)</f>
        <v>0</v>
      </c>
      <c r="N51" s="2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F51" s="4"/>
      <c r="AG51" s="4" t="s">
        <v>153</v>
      </c>
      <c r="AH51" s="4">
        <f>AH42*0.00325*0.9645*AK49</f>
        <v>0</v>
      </c>
      <c r="AI51" s="4"/>
      <c r="AK51" s="62">
        <f>AK43/100*20</f>
        <v>4.1842725286034845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4"/>
      <c r="BC51" s="2"/>
    </row>
    <row r="52" spans="3:55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2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B52" s="4"/>
      <c r="AC52" s="4"/>
      <c r="AD52" s="4"/>
      <c r="AE52" s="4"/>
      <c r="AF52" s="4"/>
      <c r="AH52" s="4"/>
      <c r="AI52" s="4"/>
      <c r="AK52" s="62">
        <f>AK43/100*35</f>
        <v>7.3224769250560984</v>
      </c>
      <c r="AL52" s="4" t="s">
        <v>246</v>
      </c>
      <c r="BB52" s="4"/>
      <c r="BC52" s="2"/>
    </row>
    <row r="53" spans="3:55" x14ac:dyDescent="0.2">
      <c r="J53" s="15" t="s">
        <v>249</v>
      </c>
      <c r="K53" s="4"/>
      <c r="L53" s="4"/>
      <c r="M53" s="141">
        <f>AH55</f>
        <v>0</v>
      </c>
      <c r="N53" s="2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BB53" s="4"/>
      <c r="BC53" s="2"/>
    </row>
    <row r="54" spans="3:55" x14ac:dyDescent="0.2">
      <c r="C54" s="24" t="s">
        <v>248</v>
      </c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49" t="s">
        <v>241</v>
      </c>
      <c r="O54" s="64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78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0.87172344345905939</v>
      </c>
      <c r="AL54" s="10" t="s">
        <v>247</v>
      </c>
      <c r="AM54" s="10"/>
      <c r="AN54" s="10"/>
      <c r="AO54" s="10"/>
      <c r="AP54" s="86"/>
      <c r="BB54" s="4"/>
      <c r="BC54" s="2"/>
    </row>
    <row r="55" spans="3:55" x14ac:dyDescent="0.2">
      <c r="C55" s="24" t="s">
        <v>239</v>
      </c>
      <c r="F55" s="4"/>
      <c r="G55" s="121">
        <v>0</v>
      </c>
      <c r="H55" s="4"/>
      <c r="L55" s="70" t="s">
        <v>130</v>
      </c>
      <c r="M55" s="70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1.3947575095344951</v>
      </c>
      <c r="AL55" s="17" t="s">
        <v>251</v>
      </c>
      <c r="AM55" s="17"/>
      <c r="AN55" s="17"/>
      <c r="AO55" s="17"/>
      <c r="AP55" s="83"/>
      <c r="AY55" s="4">
        <f>SUM(AY7:AY53)</f>
        <v>40663.03</v>
      </c>
      <c r="BB55" s="4"/>
      <c r="BC55" s="2"/>
    </row>
    <row r="56" spans="3:55" x14ac:dyDescent="0.2">
      <c r="C56" s="166" t="s">
        <v>243</v>
      </c>
      <c r="E56" s="4"/>
      <c r="F56" s="1"/>
      <c r="G56" s="4"/>
      <c r="H56" s="4"/>
      <c r="I56" s="4"/>
      <c r="J56" s="4"/>
      <c r="K56" s="4"/>
      <c r="L56" s="70"/>
      <c r="M56" s="70"/>
      <c r="N56" s="4"/>
      <c r="W56" s="106"/>
      <c r="X56" s="1"/>
      <c r="BB56" s="4"/>
      <c r="BC56" s="2"/>
    </row>
    <row r="57" spans="3:55" x14ac:dyDescent="0.2">
      <c r="E57" s="4"/>
      <c r="F57" s="1"/>
      <c r="G57" s="4"/>
      <c r="H57" s="4"/>
      <c r="I57" s="4"/>
      <c r="BB57" s="4"/>
      <c r="BC57" s="2"/>
    </row>
    <row r="58" spans="3:55" x14ac:dyDescent="0.2">
      <c r="BB58" s="102"/>
    </row>
    <row r="59" spans="3:55" x14ac:dyDescent="0.2">
      <c r="BB59" s="102"/>
    </row>
  </sheetData>
  <sheetProtection algorithmName="SHA-512" hashValue="eb5KiCnbPJmID9NUofhOqBnxaKEL9L789Vx8pKeDmabDFdKEdYsvfIN7JTY3eWf9vju9cXk2HbFLHKGrQGsP8A==" saltValue="hySQpydkAFT8GApuGZ68Bw==" spinCount="100000" sheet="1" objects="1" scenarios="1"/>
  <protectedRanges>
    <protectedRange sqref="AH47:AH49" name="maaltijd"/>
  </protectedRanges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" footer="0"/>
  <pageSetup paperSize="9" scale="76" orientation="landscape" horizontalDpi="300" verticalDpi="300" r:id="rId1"/>
  <headerFooter alignWithMargins="0"/>
  <ignoredErrors>
    <ignoredError sqref="Q7:T37 AU8:AV8 AU7:AV7 AU13:AV13 AU12:AV12 AU15:AV15 AU14:AV14 AU20:AV20 AU19:AV19 AU27:AV27 AU26:AV26 AU22:AV22 AU21:AV21 AU29:AV29 AU28:AV28 AU34:AV34 AU33:AV33 AU37:AV37 AU35:AV35 AU11:AV11 AU18:AV18 AU25:AV25 AU32:AV32 AU10:AV10 AU17:AV17 AU24:AV24 AU31:AV31 AU9:AV9 AU16:AV16 AU23:AV23 AU30:AV30 AU36:AV36" unlockedFormula="1"/>
    <ignoredError sqref="AJ36" formula="1"/>
    <ignoredError xmlns:x16r3="http://schemas.microsoft.com/office/spreadsheetml/2018/08/main" sqref="M52:M53" x16r3:misleadingForma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pageSetUpPr fitToPage="1"/>
  </sheetPr>
  <dimension ref="A1:XFC60"/>
  <sheetViews>
    <sheetView showGridLines="0" showRowColHeaders="0" topLeftCell="B1" zoomScaleNormal="100" workbookViewId="0">
      <pane ySplit="6" topLeftCell="A32" activePane="bottomLeft" state="frozen"/>
      <selection activeCell="A7" sqref="A7"/>
      <selection pane="bottomLeft" activeCell="H38" sqref="H3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285156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7.710937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0" width="9.140625" hidden="1" customWidth="1"/>
    <col min="16381" max="16381" width="5" hidden="1" customWidth="1"/>
    <col min="16382" max="16383" width="9.140625" hidden="1" customWidth="1"/>
    <col min="16384" max="16384" width="15.5703125" hidden="1" customWidth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98"/>
      <c r="O3" s="98"/>
      <c r="P3" s="98"/>
      <c r="Q3" s="98"/>
      <c r="R3" s="98"/>
      <c r="S3" s="98"/>
      <c r="T3" s="98"/>
      <c r="U3" s="99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61" t="str">
        <f>Data!E6</f>
        <v>Uurzakboekje 2026</v>
      </c>
      <c r="I4" s="4" t="s">
        <v>110</v>
      </c>
      <c r="M4" s="259">
        <f>Jan!$G$55</f>
        <v>0</v>
      </c>
      <c r="P4" s="4" t="s">
        <v>111</v>
      </c>
      <c r="Q4" s="4"/>
      <c r="R4" s="4"/>
      <c r="S4" s="4"/>
      <c r="T4" s="4"/>
      <c r="U4" s="122">
        <f>IF(Jan!$H$48="x",Jan!$U$4,Jan!$G$51)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4"/>
      <c r="D5" s="345" t="s">
        <v>114</v>
      </c>
      <c r="E5" s="345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2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6" t="s">
        <v>138</v>
      </c>
      <c r="F6" s="355" t="s">
        <v>44</v>
      </c>
      <c r="G6" s="355" t="s">
        <v>139</v>
      </c>
      <c r="H6" s="355" t="s">
        <v>44</v>
      </c>
      <c r="I6" s="355" t="s">
        <v>139</v>
      </c>
      <c r="J6" s="355" t="s">
        <v>44</v>
      </c>
      <c r="K6" s="355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59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6" customFormat="1" x14ac:dyDescent="0.2">
      <c r="A7" s="374"/>
      <c r="B7" s="362" t="s">
        <v>173</v>
      </c>
      <c r="C7" s="363" t="s">
        <v>252</v>
      </c>
      <c r="D7" s="364"/>
      <c r="E7" s="364"/>
      <c r="F7" s="365"/>
      <c r="G7" s="365"/>
      <c r="H7" s="365"/>
      <c r="I7" s="365"/>
      <c r="J7" s="375"/>
      <c r="K7" s="375"/>
      <c r="L7" s="366">
        <f>(G7-F7)+(I7-H7)+(K7-J7)</f>
        <v>0</v>
      </c>
      <c r="M7" s="366">
        <f>IF(Jan!H48="x",L7+Jan!M37+M4,L7+M4)</f>
        <v>0.6333333333333333</v>
      </c>
      <c r="N7" s="366">
        <f>IF(Jan!$H$48="x",AU7+Jan!$N$37,AU7)</f>
        <v>6.9666666666666632</v>
      </c>
      <c r="O7" s="377" t="str">
        <f>IF((M7-N7-U$4)&lt;0,"-","+")</f>
        <v>-</v>
      </c>
      <c r="P7" s="367">
        <f>ABS(M7-N7-U$4)</f>
        <v>6.3333333333333304</v>
      </c>
      <c r="Q7" s="364">
        <f t="shared" ref="Q7:Q34" si="0">AP7</f>
        <v>0</v>
      </c>
      <c r="R7" s="364">
        <f t="shared" ref="R7:R34" si="1">AQ7</f>
        <v>0</v>
      </c>
      <c r="S7" s="364">
        <f t="shared" ref="S7:S34" si="2">AR7</f>
        <v>0</v>
      </c>
      <c r="T7" s="364">
        <f t="shared" ref="T7:T34" si="3">AO7</f>
        <v>0</v>
      </c>
      <c r="U7" s="366">
        <f>L7</f>
        <v>0</v>
      </c>
      <c r="V7" s="366">
        <f>AE7</f>
        <v>0</v>
      </c>
      <c r="W7" s="366">
        <f>AF7</f>
        <v>0</v>
      </c>
      <c r="X7" s="364"/>
      <c r="Y7" s="365"/>
      <c r="Z7" s="365"/>
      <c r="AA7" s="368">
        <f t="shared" ref="AA7:AA34" si="4">IF((G7&gt;$AD$3)*AND(F7&lt;=$AD$3),G7-$AD$3,)+IF(F7&gt;$AD$3,G7-F7,)+IF((I7&gt;$AD$3)*AND(H7&lt;=$AD$3),I7-$AD$3,)+IF((H7&gt;$AD$3),I7-H7,)+IF((K7&gt;$AD$3)*AND(J7&lt;=$AD$3),K7-$AD$3,)+IF((J7&gt;$AD$3),K7-J7,)</f>
        <v>0</v>
      </c>
      <c r="AB7" s="368">
        <f t="shared" ref="AB7:AB34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68">
        <f>AA7+AB7</f>
        <v>0</v>
      </c>
      <c r="AD7" s="368">
        <f t="shared" ref="AD7:AD34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69">
        <f>AA7-AD7</f>
        <v>0</v>
      </c>
      <c r="AF7" s="368">
        <f>AH7+AD7</f>
        <v>0</v>
      </c>
      <c r="AG7" s="369">
        <f>AC7</f>
        <v>0</v>
      </c>
      <c r="AH7" s="368">
        <f t="shared" ref="AH7:AH34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70">
        <f>IF((D7&lt;&gt;""),VLOOKUP(D7,Data!$E$36:$H$53,4),)</f>
        <v>0</v>
      </c>
      <c r="AJ7" s="370">
        <f t="shared" ref="AJ7:AJ34" si="8">IF(U7&gt;0,L7,0)</f>
        <v>0</v>
      </c>
      <c r="AK7" s="371">
        <f t="shared" ref="AK7:AK34" si="9">IF(L7&gt;0,D7,0)</f>
        <v>0</v>
      </c>
      <c r="AL7" s="371">
        <f t="shared" ref="AL7:AL34" si="10">IF((E7="X")*OR(E7="x"),1,0)</f>
        <v>0</v>
      </c>
      <c r="AM7" s="372">
        <f t="shared" ref="AM7:AM34" si="11">IF(D7="F",1,)+IF((D7="VB")*AND(((G7-F7)+(I7-H7)+(K7-J7))&gt;0),1,0)</f>
        <v>0</v>
      </c>
      <c r="AN7" s="370">
        <f t="shared" ref="AN7:AN34" si="12">IF((D7="VB")*AND(((G7-F7)+(I7-H7)+(K7-J7))=0),"07:36",0)</f>
        <v>0</v>
      </c>
      <c r="AO7" s="373">
        <f t="shared" ref="AO7:AO34" si="13">IF((F7&lt;=$AQ$2)*AND(G7&gt;=$AQ$3),1,)+IF((H7&lt;=$AQ$2)*AND(I7&gt;=$AQ$3),1,)+IF((J7&lt;=$AQ$2)*AND(K7&gt;=$AQ$3),1,)</f>
        <v>0</v>
      </c>
      <c r="AP7" s="373">
        <f t="shared" ref="AP7:AP34" si="14">IF((F7&lt;=$AR$2)*AND(G7&gt;=$AR$3),1,)+IF((H7&lt;=$AR$2)*AND(I7&gt;=$AR$3),1,)+IF((J7&lt;=$AR$2)*AND(K7&gt;=$AR$3),1,)</f>
        <v>0</v>
      </c>
      <c r="AQ7" s="373">
        <f t="shared" ref="AQ7:AQ34" si="15">IF((F7&lt;=$AS$2)*AND(G7&gt;=$AS$3),1,)+IF((H7&lt;=$AS$2)*AND(I7&gt;=$AS$3),1,)+IF((J7&lt;=$AS$2)*AND(K7&gt;=$AS$3),1,)</f>
        <v>0</v>
      </c>
      <c r="AR7" s="373">
        <f t="shared" ref="AR7:AR34" si="16">IF((F7=$AT$2)*AND(G7&gt;=$AT$3),1,)+IF((H7=$AT$2)*AND(I7&gt;=$AT$3),1,)+IF((J7=$AT$2)*AND(K7&gt;=$AT$3),1,)</f>
        <v>0</v>
      </c>
      <c r="AS7" s="371">
        <f t="shared" ref="AS7:AS34" si="17">IF((E7="MO")*OR(E7="mo"),1,0)</f>
        <v>0</v>
      </c>
      <c r="AT7" s="371">
        <f t="shared" ref="AT7:AT34" si="18">IF((E7="M")*OR(E7="m"),1,0)</f>
        <v>0</v>
      </c>
      <c r="AU7" s="366">
        <f>IF(Data!$H$8="x",AV7,AW7)</f>
        <v>0</v>
      </c>
      <c r="AV7" s="366">
        <f t="shared" ref="AV7:AV33" si="19">AW7/2</f>
        <v>0</v>
      </c>
      <c r="AW7" s="366">
        <f>AX4</f>
        <v>0</v>
      </c>
      <c r="AX7" s="362" t="str">
        <f t="shared" ref="AX7:AX34" si="20">B7</f>
        <v>Zo</v>
      </c>
      <c r="AY7" s="371">
        <f>IF((R38="HAU1")*AND(R39&lt;&gt;""),VLOOKUP(R39,Barema!$Q$5:$R$31,2),)</f>
        <v>0</v>
      </c>
      <c r="AZ7" s="371" t="s">
        <v>0</v>
      </c>
      <c r="BA7" s="439"/>
    </row>
    <row r="8" spans="1:54" s="378" customFormat="1" x14ac:dyDescent="0.2">
      <c r="A8" s="309"/>
      <c r="B8" s="6" t="s">
        <v>175</v>
      </c>
      <c r="C8" s="311" t="s">
        <v>253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13">
        <f>M7+L8</f>
        <v>0.6333333333333333</v>
      </c>
      <c r="N8" s="313">
        <f>IF(Jan!$H$48="x",AU8+Jan!$N$37,AU8)</f>
        <v>7.2833333333333297</v>
      </c>
      <c r="O8" s="337" t="str">
        <f t="shared" ref="O8:O33" si="21">IF((M8-N8-U$4)&lt;0,"-","+")</f>
        <v>-</v>
      </c>
      <c r="P8" s="314">
        <f t="shared" ref="P8:P33" si="22">ABS(M8-N8-U$4)</f>
        <v>6.6499999999999968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4" si="23">AE8</f>
        <v>0</v>
      </c>
      <c r="W8" s="313">
        <f t="shared" ref="W8:W34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0.31666666666666665</v>
      </c>
      <c r="AV8" s="313">
        <f t="shared" si="19"/>
        <v>0.15833333333333333</v>
      </c>
      <c r="AW8" s="313">
        <f>IF(D8="V",AW7,(AW7+"07:36"))</f>
        <v>0.31666666666666665</v>
      </c>
      <c r="AX8" s="6" t="str">
        <f t="shared" si="20"/>
        <v>Ma</v>
      </c>
      <c r="AY8" s="4">
        <f>IF((R38="HAU2")*AND(R39&lt;&gt;""),VLOOKUP(R39,Barema!$T$5:$U$31,2),)</f>
        <v>0</v>
      </c>
      <c r="AZ8" s="4" t="s">
        <v>1</v>
      </c>
      <c r="BA8" s="102"/>
    </row>
    <row r="9" spans="1:54" s="335" customFormat="1" x14ac:dyDescent="0.2">
      <c r="A9" s="302"/>
      <c r="B9" s="6" t="s">
        <v>177</v>
      </c>
      <c r="C9" s="311" t="s">
        <v>254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 t="shared" ref="M9:M33" si="25">M8+L9</f>
        <v>0.6333333333333333</v>
      </c>
      <c r="N9" s="313">
        <f>IF(Jan!$H$48="x",AU9+Jan!$N$37,AU9)</f>
        <v>7.5999999999999961</v>
      </c>
      <c r="O9" s="337" t="str">
        <f t="shared" si="21"/>
        <v>-</v>
      </c>
      <c r="P9" s="314">
        <f t="shared" si="22"/>
        <v>6.9666666666666632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3" si="26">AA9+AB9</f>
        <v>0</v>
      </c>
      <c r="AD9" s="315">
        <f t="shared" si="6"/>
        <v>0</v>
      </c>
      <c r="AE9" s="316">
        <f t="shared" ref="AE9:AE33" si="27">AA9-AD9</f>
        <v>0</v>
      </c>
      <c r="AF9" s="315">
        <f t="shared" ref="AF9:AF33" si="28">AH9+AD9</f>
        <v>0</v>
      </c>
      <c r="AG9" s="316">
        <f t="shared" ref="AG9:AG33" si="29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0.6333333333333333</v>
      </c>
      <c r="AV9" s="313">
        <f t="shared" si="19"/>
        <v>0.31666666666666665</v>
      </c>
      <c r="AW9" s="313">
        <f>IF(D9="V",AW8,(AW8+"07:36"))</f>
        <v>0.6333333333333333</v>
      </c>
      <c r="AX9" s="6" t="str">
        <f t="shared" si="20"/>
        <v>Di</v>
      </c>
      <c r="AY9" s="4">
        <f>IF((R38="HAU3")*AND(R39&lt;&gt;""),VLOOKUP(R39,Barema!$W$5:$X$31,2),)</f>
        <v>0</v>
      </c>
      <c r="AZ9" s="4" t="s">
        <v>2</v>
      </c>
      <c r="BA9" s="102"/>
    </row>
    <row r="10" spans="1:54" s="335" customFormat="1" x14ac:dyDescent="0.2">
      <c r="A10" s="302"/>
      <c r="B10" s="6" t="s">
        <v>179</v>
      </c>
      <c r="C10" s="311" t="s">
        <v>255</v>
      </c>
      <c r="D10" s="312"/>
      <c r="E10" s="312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 t="shared" si="25"/>
        <v>0.6333333333333333</v>
      </c>
      <c r="N10" s="313">
        <f>IF(Jan!$H$48="x",AU10+Jan!$N$37,AU10)</f>
        <v>7.9166666666666634</v>
      </c>
      <c r="O10" s="337" t="str">
        <f t="shared" si="21"/>
        <v>-</v>
      </c>
      <c r="P10" s="314">
        <f t="shared" si="22"/>
        <v>7.2833333333333297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6"/>
        <v>0</v>
      </c>
      <c r="AD10" s="315">
        <f t="shared" si="6"/>
        <v>0</v>
      </c>
      <c r="AE10" s="316">
        <f t="shared" si="27"/>
        <v>0</v>
      </c>
      <c r="AF10" s="315">
        <f t="shared" si="28"/>
        <v>0</v>
      </c>
      <c r="AG10" s="316">
        <f t="shared" si="29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0.95</v>
      </c>
      <c r="AV10" s="313">
        <f t="shared" si="19"/>
        <v>0.47499999999999998</v>
      </c>
      <c r="AW10" s="313">
        <f>IF(D10="V",AW9,(AW9+"07:36"))</f>
        <v>0.95</v>
      </c>
      <c r="AX10" s="6" t="str">
        <f t="shared" si="20"/>
        <v>Wo</v>
      </c>
      <c r="AY10" s="4">
        <f>IF((R38="B1")*AND(R39&lt;&gt;""),VLOOKUP(R39,Barema!$Z$5:$AA$31,2),)</f>
        <v>0</v>
      </c>
      <c r="AZ10" s="4" t="s">
        <v>3</v>
      </c>
      <c r="BA10" s="102"/>
    </row>
    <row r="11" spans="1:54" x14ac:dyDescent="0.2">
      <c r="B11" s="6" t="s">
        <v>167</v>
      </c>
      <c r="C11" s="311" t="s">
        <v>256</v>
      </c>
      <c r="D11" s="312"/>
      <c r="E11" s="312"/>
      <c r="F11" s="274"/>
      <c r="G11" s="274"/>
      <c r="H11" s="310"/>
      <c r="I11" s="310"/>
      <c r="J11" s="310"/>
      <c r="K11" s="310"/>
      <c r="L11" s="313">
        <f>(G11-F11)+(I11-H11)+(K11-J11)+AI11+AN11</f>
        <v>0</v>
      </c>
      <c r="M11" s="313">
        <f>M10+L11</f>
        <v>0.6333333333333333</v>
      </c>
      <c r="N11" s="313">
        <f>IF(Jan!$H$48="x",AU11+Jan!$N$37,AU11)</f>
        <v>8.2333333333333307</v>
      </c>
      <c r="O11" s="337" t="str">
        <f t="shared" si="21"/>
        <v>-</v>
      </c>
      <c r="P11" s="314">
        <f t="shared" si="22"/>
        <v>7.5999999999999979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>
        <f>IF(D11="F",L11,0)</f>
        <v>0</v>
      </c>
      <c r="V11" s="313">
        <f t="shared" si="23"/>
        <v>0</v>
      </c>
      <c r="W11" s="313">
        <f t="shared" si="24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6"/>
        <v>0</v>
      </c>
      <c r="AD11" s="315">
        <f t="shared" si="6"/>
        <v>0</v>
      </c>
      <c r="AE11" s="316">
        <f t="shared" si="27"/>
        <v>0</v>
      </c>
      <c r="AF11" s="315">
        <f t="shared" si="28"/>
        <v>0</v>
      </c>
      <c r="AG11" s="316">
        <f t="shared" si="29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1.2666666666666666</v>
      </c>
      <c r="AV11" s="313">
        <f t="shared" si="19"/>
        <v>0.6333333333333333</v>
      </c>
      <c r="AW11" s="313">
        <f>IF(D11="V",AW10,(AW10+"07:36"))</f>
        <v>1.2666666666666666</v>
      </c>
      <c r="AX11" s="6" t="str">
        <f t="shared" si="20"/>
        <v>Do</v>
      </c>
      <c r="AY11" s="4">
        <f>IF((R38="B2")*AND(R39&lt;&gt;""),VLOOKUP(R39,Barema!$AC$5:$AD$31,2),)</f>
        <v>0</v>
      </c>
      <c r="AZ11" s="4" t="s">
        <v>4</v>
      </c>
      <c r="BA11" s="102"/>
    </row>
    <row r="12" spans="1:54" x14ac:dyDescent="0.2">
      <c r="B12" s="6" t="s">
        <v>169</v>
      </c>
      <c r="C12" s="311" t="s">
        <v>257</v>
      </c>
      <c r="D12" s="312"/>
      <c r="E12" s="312"/>
      <c r="F12" s="274"/>
      <c r="G12" s="274"/>
      <c r="H12" s="310"/>
      <c r="I12" s="310"/>
      <c r="J12" s="310"/>
      <c r="K12" s="310"/>
      <c r="L12" s="313">
        <f>(G12-F12)+(I12-H12)+(K12-J12)+AI12+AN12</f>
        <v>0</v>
      </c>
      <c r="M12" s="313">
        <f t="shared" si="25"/>
        <v>0.6333333333333333</v>
      </c>
      <c r="N12" s="313">
        <f>IF(Jan!$H$48="x",AU12+Jan!$N$37,AU12)</f>
        <v>8.5499999999999972</v>
      </c>
      <c r="O12" s="337" t="str">
        <f t="shared" si="21"/>
        <v>-</v>
      </c>
      <c r="P12" s="314">
        <f t="shared" si="22"/>
        <v>7.9166666666666643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>
        <f>IF(D12="F",L12,0)</f>
        <v>0</v>
      </c>
      <c r="V12" s="313">
        <f t="shared" si="23"/>
        <v>0</v>
      </c>
      <c r="W12" s="313">
        <f t="shared" si="24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6"/>
        <v>0</v>
      </c>
      <c r="AD12" s="315">
        <f t="shared" si="6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1.5833333333333333</v>
      </c>
      <c r="AV12" s="313">
        <f t="shared" si="19"/>
        <v>0.79166666666666663</v>
      </c>
      <c r="AW12" s="313">
        <f>IF(D12="V",AW11,(AW11+"07:36"))</f>
        <v>1.5833333333333333</v>
      </c>
      <c r="AX12" s="6" t="str">
        <f t="shared" si="20"/>
        <v>Vr</v>
      </c>
      <c r="AY12" s="4">
        <f>IF((R38="B3")*AND(R39&lt;&gt;""),VLOOKUP(R39,Barema!$AF$5:$AG$31,2),)</f>
        <v>0</v>
      </c>
      <c r="AZ12" s="4" t="s">
        <v>5</v>
      </c>
      <c r="BA12" s="102"/>
    </row>
    <row r="13" spans="1:54" s="376" customFormat="1" x14ac:dyDescent="0.2">
      <c r="A13" s="374"/>
      <c r="B13" s="362" t="s">
        <v>171</v>
      </c>
      <c r="C13" s="363" t="s">
        <v>258</v>
      </c>
      <c r="D13" s="364"/>
      <c r="E13" s="364"/>
      <c r="F13" s="365"/>
      <c r="G13" s="365"/>
      <c r="H13" s="365"/>
      <c r="I13" s="365"/>
      <c r="J13" s="375"/>
      <c r="K13" s="375"/>
      <c r="L13" s="366">
        <f>(G13-F13)+(I13-H13)+(K13-J13)</f>
        <v>0</v>
      </c>
      <c r="M13" s="366">
        <f t="shared" si="25"/>
        <v>0.6333333333333333</v>
      </c>
      <c r="N13" s="366">
        <f>IF(Jan!$H$48="x",AU13+Jan!$N$37,AU13)</f>
        <v>8.5499999999999972</v>
      </c>
      <c r="O13" s="377" t="str">
        <f t="shared" si="21"/>
        <v>-</v>
      </c>
      <c r="P13" s="367">
        <f t="shared" si="22"/>
        <v>7.9166666666666643</v>
      </c>
      <c r="Q13" s="364">
        <f t="shared" si="0"/>
        <v>0</v>
      </c>
      <c r="R13" s="364">
        <f t="shared" si="1"/>
        <v>0</v>
      </c>
      <c r="S13" s="364">
        <f t="shared" si="2"/>
        <v>0</v>
      </c>
      <c r="T13" s="364">
        <f t="shared" si="3"/>
        <v>0</v>
      </c>
      <c r="U13" s="366">
        <f>L13</f>
        <v>0</v>
      </c>
      <c r="V13" s="366">
        <f t="shared" si="23"/>
        <v>0</v>
      </c>
      <c r="W13" s="366">
        <f t="shared" si="24"/>
        <v>0</v>
      </c>
      <c r="X13" s="364"/>
      <c r="Y13" s="365"/>
      <c r="Z13" s="365"/>
      <c r="AA13" s="368">
        <f t="shared" si="4"/>
        <v>0</v>
      </c>
      <c r="AB13" s="368">
        <f t="shared" si="5"/>
        <v>0</v>
      </c>
      <c r="AC13" s="368">
        <f t="shared" si="26"/>
        <v>0</v>
      </c>
      <c r="AD13" s="368">
        <f t="shared" si="6"/>
        <v>0</v>
      </c>
      <c r="AE13" s="369">
        <f t="shared" si="27"/>
        <v>0</v>
      </c>
      <c r="AF13" s="368">
        <f t="shared" si="28"/>
        <v>0</v>
      </c>
      <c r="AG13" s="369">
        <f t="shared" si="29"/>
        <v>0</v>
      </c>
      <c r="AH13" s="368">
        <f t="shared" si="7"/>
        <v>0</v>
      </c>
      <c r="AI13" s="370">
        <f>IF((D13&lt;&gt;""),VLOOKUP(D13,Data!$E$36:$H$53,4),)</f>
        <v>0</v>
      </c>
      <c r="AJ13" s="370">
        <f t="shared" si="8"/>
        <v>0</v>
      </c>
      <c r="AK13" s="371">
        <f t="shared" si="9"/>
        <v>0</v>
      </c>
      <c r="AL13" s="371">
        <f t="shared" si="10"/>
        <v>0</v>
      </c>
      <c r="AM13" s="372">
        <f t="shared" si="11"/>
        <v>0</v>
      </c>
      <c r="AN13" s="370">
        <f t="shared" si="12"/>
        <v>0</v>
      </c>
      <c r="AO13" s="373">
        <f t="shared" si="13"/>
        <v>0</v>
      </c>
      <c r="AP13" s="373">
        <f t="shared" si="14"/>
        <v>0</v>
      </c>
      <c r="AQ13" s="373">
        <f t="shared" si="15"/>
        <v>0</v>
      </c>
      <c r="AR13" s="373">
        <f t="shared" si="16"/>
        <v>0</v>
      </c>
      <c r="AS13" s="371">
        <f t="shared" si="17"/>
        <v>0</v>
      </c>
      <c r="AT13" s="371">
        <f t="shared" si="18"/>
        <v>0</v>
      </c>
      <c r="AU13" s="366">
        <f>IF(Data!$H$8="x",AV13,AW13)</f>
        <v>1.5833333333333333</v>
      </c>
      <c r="AV13" s="366">
        <f t="shared" si="19"/>
        <v>0.79166666666666663</v>
      </c>
      <c r="AW13" s="366">
        <f>AW12</f>
        <v>1.5833333333333333</v>
      </c>
      <c r="AX13" s="362" t="str">
        <f t="shared" si="20"/>
        <v>Za</v>
      </c>
      <c r="AY13" s="371">
        <f>IF((R38="B4")*AND(R39&lt;&gt;""),VLOOKUP(R39,Barema!$AI$5:$AJ$34,2),)</f>
        <v>0</v>
      </c>
      <c r="AZ13" s="371" t="s">
        <v>6</v>
      </c>
      <c r="BA13" s="439"/>
    </row>
    <row r="14" spans="1:54" s="376" customFormat="1" x14ac:dyDescent="0.2">
      <c r="A14" s="374"/>
      <c r="B14" s="362" t="s">
        <v>173</v>
      </c>
      <c r="C14" s="363" t="s">
        <v>259</v>
      </c>
      <c r="D14" s="364"/>
      <c r="E14" s="364"/>
      <c r="F14" s="365"/>
      <c r="G14" s="365"/>
      <c r="H14" s="365"/>
      <c r="I14" s="365"/>
      <c r="J14" s="375"/>
      <c r="K14" s="375"/>
      <c r="L14" s="366">
        <f>(G14-F14)+(I14-H14)+(K14-J14)</f>
        <v>0</v>
      </c>
      <c r="M14" s="366">
        <f t="shared" si="25"/>
        <v>0.6333333333333333</v>
      </c>
      <c r="N14" s="366">
        <f>IF(Jan!$H$48="x",AU14+Jan!$N$37,AU14)</f>
        <v>8.5499999999999972</v>
      </c>
      <c r="O14" s="377" t="str">
        <f t="shared" si="21"/>
        <v>-</v>
      </c>
      <c r="P14" s="367">
        <f t="shared" si="22"/>
        <v>7.9166666666666643</v>
      </c>
      <c r="Q14" s="364">
        <f t="shared" si="0"/>
        <v>0</v>
      </c>
      <c r="R14" s="364">
        <f t="shared" si="1"/>
        <v>0</v>
      </c>
      <c r="S14" s="364">
        <f t="shared" si="2"/>
        <v>0</v>
      </c>
      <c r="T14" s="364">
        <f t="shared" si="3"/>
        <v>0</v>
      </c>
      <c r="U14" s="366">
        <f>L14</f>
        <v>0</v>
      </c>
      <c r="V14" s="366">
        <f t="shared" si="23"/>
        <v>0</v>
      </c>
      <c r="W14" s="366">
        <f t="shared" si="24"/>
        <v>0</v>
      </c>
      <c r="X14" s="364"/>
      <c r="Y14" s="365"/>
      <c r="Z14" s="365"/>
      <c r="AA14" s="368">
        <f t="shared" si="4"/>
        <v>0</v>
      </c>
      <c r="AB14" s="368">
        <f t="shared" si="5"/>
        <v>0</v>
      </c>
      <c r="AC14" s="368">
        <f t="shared" si="26"/>
        <v>0</v>
      </c>
      <c r="AD14" s="368">
        <f t="shared" si="6"/>
        <v>0</v>
      </c>
      <c r="AE14" s="369">
        <f t="shared" si="27"/>
        <v>0</v>
      </c>
      <c r="AF14" s="368">
        <f t="shared" si="28"/>
        <v>0</v>
      </c>
      <c r="AG14" s="369">
        <f t="shared" si="29"/>
        <v>0</v>
      </c>
      <c r="AH14" s="368">
        <f t="shared" si="7"/>
        <v>0</v>
      </c>
      <c r="AI14" s="370">
        <f>IF((D14&lt;&gt;""),VLOOKUP(D14,Data!$E$36:$H$53,4),)</f>
        <v>0</v>
      </c>
      <c r="AJ14" s="370">
        <f t="shared" si="8"/>
        <v>0</v>
      </c>
      <c r="AK14" s="371">
        <f t="shared" si="9"/>
        <v>0</v>
      </c>
      <c r="AL14" s="371">
        <f t="shared" si="10"/>
        <v>0</v>
      </c>
      <c r="AM14" s="372">
        <f t="shared" si="11"/>
        <v>0</v>
      </c>
      <c r="AN14" s="370">
        <f t="shared" si="12"/>
        <v>0</v>
      </c>
      <c r="AO14" s="373">
        <f t="shared" si="13"/>
        <v>0</v>
      </c>
      <c r="AP14" s="373">
        <f t="shared" si="14"/>
        <v>0</v>
      </c>
      <c r="AQ14" s="373">
        <f t="shared" si="15"/>
        <v>0</v>
      </c>
      <c r="AR14" s="373">
        <f t="shared" si="16"/>
        <v>0</v>
      </c>
      <c r="AS14" s="371">
        <f t="shared" si="17"/>
        <v>0</v>
      </c>
      <c r="AT14" s="371">
        <f t="shared" si="18"/>
        <v>0</v>
      </c>
      <c r="AU14" s="366">
        <f>IF(Data!$H$8="x",AV14,AW14)</f>
        <v>1.5833333333333333</v>
      </c>
      <c r="AV14" s="366">
        <f t="shared" si="19"/>
        <v>0.79166666666666663</v>
      </c>
      <c r="AW14" s="366">
        <f>AW13</f>
        <v>1.5833333333333333</v>
      </c>
      <c r="AX14" s="362" t="str">
        <f t="shared" si="20"/>
        <v>Zo</v>
      </c>
      <c r="AY14" s="371">
        <f>IF((R38="B5")*AND(R39&lt;&gt;""),VLOOKUP(R39,Barema!$AL$5:$AM$34,2),)</f>
        <v>0</v>
      </c>
      <c r="AZ14" s="371" t="s">
        <v>7</v>
      </c>
      <c r="BA14" s="439"/>
    </row>
    <row r="15" spans="1:54" s="378" customFormat="1" x14ac:dyDescent="0.2">
      <c r="A15" s="309"/>
      <c r="B15" s="6" t="s">
        <v>175</v>
      </c>
      <c r="C15" s="311" t="s">
        <v>260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 t="shared" si="25"/>
        <v>0.6333333333333333</v>
      </c>
      <c r="N15" s="313">
        <f>IF(Jan!$H$48="x",AU15+Jan!$N$37,AU15)</f>
        <v>8.8666666666666636</v>
      </c>
      <c r="O15" s="337" t="str">
        <f t="shared" si="21"/>
        <v>-</v>
      </c>
      <c r="P15" s="314">
        <f t="shared" si="22"/>
        <v>8.2333333333333307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6"/>
        <v>0</v>
      </c>
      <c r="AD15" s="315">
        <f t="shared" si="6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1.9</v>
      </c>
      <c r="AV15" s="313">
        <f t="shared" si="19"/>
        <v>0.95</v>
      </c>
      <c r="AW15" s="313">
        <f>IF(D15="V",AW14,(AW14+"07:36"))</f>
        <v>1.9</v>
      </c>
      <c r="AX15" s="6" t="str">
        <f t="shared" si="20"/>
        <v>Ma</v>
      </c>
      <c r="AY15" s="4">
        <f>IF((R38="M1.1")*AND(R39&lt;&gt;""),VLOOKUP(R39,Barema!$AO$5:$AP$31,2),)</f>
        <v>0</v>
      </c>
      <c r="AZ15" s="4" t="s">
        <v>8</v>
      </c>
      <c r="BA15" s="102"/>
    </row>
    <row r="16" spans="1:54" s="335" customFormat="1" x14ac:dyDescent="0.2">
      <c r="A16" s="302"/>
      <c r="B16" s="6" t="s">
        <v>177</v>
      </c>
      <c r="C16" s="311" t="s">
        <v>261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 t="shared" si="25"/>
        <v>0.6333333333333333</v>
      </c>
      <c r="N16" s="313">
        <f>IF(Jan!$H$48="x",AU16+Jan!$N$37,AU16)</f>
        <v>9.18333333333333</v>
      </c>
      <c r="O16" s="337" t="str">
        <f t="shared" si="21"/>
        <v>-</v>
      </c>
      <c r="P16" s="314">
        <f t="shared" si="22"/>
        <v>8.5499999999999972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6"/>
        <v>0</v>
      </c>
      <c r="AD16" s="315">
        <f t="shared" si="6"/>
        <v>0</v>
      </c>
      <c r="AE16" s="316">
        <f t="shared" si="27"/>
        <v>0</v>
      </c>
      <c r="AF16" s="315">
        <f t="shared" si="28"/>
        <v>0</v>
      </c>
      <c r="AG16" s="316">
        <f t="shared" si="29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2.2166666666666668</v>
      </c>
      <c r="AV16" s="313">
        <f t="shared" si="19"/>
        <v>1.1083333333333334</v>
      </c>
      <c r="AW16" s="313">
        <f>IF(D16="V",AW15,(AW15+"07:36"))</f>
        <v>2.2166666666666668</v>
      </c>
      <c r="AX16" s="6" t="str">
        <f t="shared" si="20"/>
        <v>Di</v>
      </c>
      <c r="AY16" s="4">
        <f>IF((R38="M1.2")*AND(R39&lt;&gt;""),VLOOKUP(R38,Barema!$AR$5:$AS$31,2),)</f>
        <v>0</v>
      </c>
      <c r="AZ16" s="4" t="s">
        <v>9</v>
      </c>
      <c r="BA16" s="102"/>
      <c r="BB16"/>
    </row>
    <row r="17" spans="1:54" s="335" customFormat="1" x14ac:dyDescent="0.2">
      <c r="A17" s="302"/>
      <c r="B17" s="6" t="s">
        <v>179</v>
      </c>
      <c r="C17" s="311" t="s">
        <v>262</v>
      </c>
      <c r="D17" s="312"/>
      <c r="E17" s="312"/>
      <c r="F17" s="274"/>
      <c r="G17" s="274"/>
      <c r="H17" s="310"/>
      <c r="I17" s="310"/>
      <c r="J17" s="336"/>
      <c r="K17" s="336"/>
      <c r="L17" s="313">
        <f>(G17-F17)+(I17-H17)+(K17-J17)+AI17+AN17</f>
        <v>0</v>
      </c>
      <c r="M17" s="313">
        <f t="shared" si="25"/>
        <v>0.6333333333333333</v>
      </c>
      <c r="N17" s="313">
        <f>IF(Jan!$H$48="x",AU17+Jan!$N$37,AU17)</f>
        <v>9.4999999999999964</v>
      </c>
      <c r="O17" s="337" t="str">
        <f t="shared" si="21"/>
        <v>-</v>
      </c>
      <c r="P17" s="314">
        <f t="shared" si="22"/>
        <v>8.8666666666666636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3"/>
        <v>0</v>
      </c>
      <c r="W17" s="313">
        <f t="shared" si="24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6"/>
        <v>0</v>
      </c>
      <c r="AD17" s="315">
        <f t="shared" si="6"/>
        <v>0</v>
      </c>
      <c r="AE17" s="316">
        <f t="shared" si="27"/>
        <v>0</v>
      </c>
      <c r="AF17" s="315">
        <f t="shared" si="28"/>
        <v>0</v>
      </c>
      <c r="AG17" s="316">
        <f t="shared" si="29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2.5333333333333332</v>
      </c>
      <c r="AV17" s="313">
        <f t="shared" si="19"/>
        <v>1.2666666666666666</v>
      </c>
      <c r="AW17" s="313">
        <f>IF(D17="V",AW16,(AW16+"07:36"))</f>
        <v>2.5333333333333332</v>
      </c>
      <c r="AX17" s="6" t="str">
        <f t="shared" si="20"/>
        <v>Wo</v>
      </c>
      <c r="AY17" s="4">
        <f>IF((R38="M2.1")*AND(R39&lt;&gt;""),VLOOKUP(R39,Barema!$AU$5:$AV$31,2),)</f>
        <v>0</v>
      </c>
      <c r="AZ17" s="4" t="s">
        <v>10</v>
      </c>
      <c r="BA17" s="102"/>
      <c r="BB17"/>
    </row>
    <row r="18" spans="1:54" x14ac:dyDescent="0.2">
      <c r="B18" s="6" t="s">
        <v>167</v>
      </c>
      <c r="C18" s="311" t="s">
        <v>263</v>
      </c>
      <c r="D18" s="312"/>
      <c r="E18" s="312"/>
      <c r="F18" s="274"/>
      <c r="G18" s="274"/>
      <c r="H18" s="310"/>
      <c r="I18" s="310"/>
      <c r="J18" s="310"/>
      <c r="K18" s="310"/>
      <c r="L18" s="313">
        <f>(G18-F18)+(I18-H18)+(K18-J18)+AI18+AN18</f>
        <v>0</v>
      </c>
      <c r="M18" s="313">
        <f>M17+L18</f>
        <v>0.6333333333333333</v>
      </c>
      <c r="N18" s="313">
        <f>IF(Jan!$H$48="x",AU18+Jan!$N$37,AU18)</f>
        <v>9.8166666666666629</v>
      </c>
      <c r="O18" s="337" t="str">
        <f t="shared" si="21"/>
        <v>-</v>
      </c>
      <c r="P18" s="314">
        <f t="shared" si="22"/>
        <v>9.18333333333333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3"/>
        <v>0</v>
      </c>
      <c r="W18" s="313">
        <f t="shared" si="24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6"/>
        <v>0</v>
      </c>
      <c r="AD18" s="315">
        <f t="shared" si="6"/>
        <v>0</v>
      </c>
      <c r="AE18" s="316">
        <f t="shared" si="27"/>
        <v>0</v>
      </c>
      <c r="AF18" s="315">
        <f t="shared" si="28"/>
        <v>0</v>
      </c>
      <c r="AG18" s="316">
        <f t="shared" si="29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2.8499999999999996</v>
      </c>
      <c r="AV18" s="313">
        <f t="shared" si="19"/>
        <v>1.4249999999999998</v>
      </c>
      <c r="AW18" s="313">
        <f>IF(D18="V",AW17,(AW17+"07:36"))</f>
        <v>2.8499999999999996</v>
      </c>
      <c r="AX18" s="6" t="str">
        <f t="shared" si="20"/>
        <v>Do</v>
      </c>
      <c r="AY18" s="4">
        <f>IF((R38="M2.2")*AND(R39&lt;&gt;""),VLOOKUP(R39,Barema!$AX$5:$AY$31,2),)</f>
        <v>0</v>
      </c>
      <c r="AZ18" s="4" t="s">
        <v>11</v>
      </c>
      <c r="BA18" s="102"/>
    </row>
    <row r="19" spans="1:54" x14ac:dyDescent="0.2">
      <c r="B19" s="6" t="s">
        <v>169</v>
      </c>
      <c r="C19" s="311" t="s">
        <v>264</v>
      </c>
      <c r="D19" s="312"/>
      <c r="E19" s="312"/>
      <c r="F19" s="274"/>
      <c r="G19" s="274"/>
      <c r="H19" s="310"/>
      <c r="I19" s="310"/>
      <c r="J19" s="310"/>
      <c r="K19" s="310"/>
      <c r="L19" s="313">
        <f>(G19-F19)+(I19-H19)+(K19-J19)+AI19+AN19</f>
        <v>0</v>
      </c>
      <c r="M19" s="313">
        <f t="shared" si="25"/>
        <v>0.6333333333333333</v>
      </c>
      <c r="N19" s="313">
        <f>IF(Jan!$H$48="x",AU19+Jan!$N$37,AU19)</f>
        <v>10.133333333333329</v>
      </c>
      <c r="O19" s="337" t="str">
        <f t="shared" si="21"/>
        <v>-</v>
      </c>
      <c r="P19" s="314">
        <f t="shared" si="22"/>
        <v>9.4999999999999964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3.1666666666666661</v>
      </c>
      <c r="AV19" s="313">
        <f t="shared" si="19"/>
        <v>1.583333333333333</v>
      </c>
      <c r="AW19" s="313">
        <f>IF(D19="V",AW18,(AW18+"07:36"))</f>
        <v>3.1666666666666661</v>
      </c>
      <c r="AX19" s="6" t="str">
        <f t="shared" si="20"/>
        <v>Vr</v>
      </c>
      <c r="AY19" s="4">
        <f>IF((R38="M3.1")*AND(R39&lt;&gt;""),VLOOKUP(R39,Barema!$BA$5:$BB$31,2),)</f>
        <v>0</v>
      </c>
      <c r="AZ19" s="4" t="s">
        <v>12</v>
      </c>
      <c r="BA19" s="102"/>
    </row>
    <row r="20" spans="1:54" s="376" customFormat="1" x14ac:dyDescent="0.2">
      <c r="A20" s="374"/>
      <c r="B20" s="362" t="s">
        <v>171</v>
      </c>
      <c r="C20" s="363" t="s">
        <v>265</v>
      </c>
      <c r="D20" s="364"/>
      <c r="E20" s="364"/>
      <c r="F20" s="365"/>
      <c r="G20" s="365"/>
      <c r="H20" s="365"/>
      <c r="I20" s="365"/>
      <c r="J20" s="375"/>
      <c r="K20" s="375"/>
      <c r="L20" s="366">
        <f>(G20-F20)+(I20-H20)+(K20-J20)</f>
        <v>0</v>
      </c>
      <c r="M20" s="366">
        <f t="shared" si="25"/>
        <v>0.6333333333333333</v>
      </c>
      <c r="N20" s="366">
        <f>IF(Jan!$H$48="x",AU20+Jan!$N$37,AU20)</f>
        <v>10.133333333333329</v>
      </c>
      <c r="O20" s="377" t="str">
        <f t="shared" si="21"/>
        <v>-</v>
      </c>
      <c r="P20" s="367">
        <f t="shared" si="22"/>
        <v>9.4999999999999964</v>
      </c>
      <c r="Q20" s="364">
        <f t="shared" si="0"/>
        <v>0</v>
      </c>
      <c r="R20" s="364">
        <f t="shared" si="1"/>
        <v>0</v>
      </c>
      <c r="S20" s="364">
        <f t="shared" si="2"/>
        <v>0</v>
      </c>
      <c r="T20" s="364">
        <f t="shared" si="3"/>
        <v>0</v>
      </c>
      <c r="U20" s="366">
        <f>L20</f>
        <v>0</v>
      </c>
      <c r="V20" s="366">
        <f t="shared" si="23"/>
        <v>0</v>
      </c>
      <c r="W20" s="366">
        <f t="shared" si="24"/>
        <v>0</v>
      </c>
      <c r="X20" s="364"/>
      <c r="Y20" s="365"/>
      <c r="Z20" s="365"/>
      <c r="AA20" s="368">
        <f t="shared" si="4"/>
        <v>0</v>
      </c>
      <c r="AB20" s="368">
        <f t="shared" si="5"/>
        <v>0</v>
      </c>
      <c r="AC20" s="368">
        <f t="shared" si="26"/>
        <v>0</v>
      </c>
      <c r="AD20" s="368">
        <f t="shared" si="6"/>
        <v>0</v>
      </c>
      <c r="AE20" s="369">
        <f t="shared" si="27"/>
        <v>0</v>
      </c>
      <c r="AF20" s="368">
        <f t="shared" si="28"/>
        <v>0</v>
      </c>
      <c r="AG20" s="369">
        <f t="shared" si="29"/>
        <v>0</v>
      </c>
      <c r="AH20" s="368">
        <f t="shared" si="7"/>
        <v>0</v>
      </c>
      <c r="AI20" s="370">
        <f>IF((D20&lt;&gt;""),VLOOKUP(D20,Data!$E$36:$H$53,4),)</f>
        <v>0</v>
      </c>
      <c r="AJ20" s="370">
        <f t="shared" si="8"/>
        <v>0</v>
      </c>
      <c r="AK20" s="371">
        <f t="shared" si="9"/>
        <v>0</v>
      </c>
      <c r="AL20" s="371">
        <f t="shared" si="10"/>
        <v>0</v>
      </c>
      <c r="AM20" s="372">
        <f t="shared" si="11"/>
        <v>0</v>
      </c>
      <c r="AN20" s="370">
        <f t="shared" si="12"/>
        <v>0</v>
      </c>
      <c r="AO20" s="373">
        <f t="shared" si="13"/>
        <v>0</v>
      </c>
      <c r="AP20" s="373">
        <f t="shared" si="14"/>
        <v>0</v>
      </c>
      <c r="AQ20" s="373">
        <f t="shared" si="15"/>
        <v>0</v>
      </c>
      <c r="AR20" s="373">
        <f t="shared" si="16"/>
        <v>0</v>
      </c>
      <c r="AS20" s="371">
        <f t="shared" si="17"/>
        <v>0</v>
      </c>
      <c r="AT20" s="371">
        <f t="shared" si="18"/>
        <v>0</v>
      </c>
      <c r="AU20" s="366">
        <f>IF(Data!$H$8="x",AV20,AW20)</f>
        <v>3.1666666666666661</v>
      </c>
      <c r="AV20" s="366">
        <f t="shared" si="19"/>
        <v>1.583333333333333</v>
      </c>
      <c r="AW20" s="366">
        <f>AW19</f>
        <v>3.1666666666666661</v>
      </c>
      <c r="AX20" s="362" t="str">
        <f t="shared" si="20"/>
        <v>Za</v>
      </c>
      <c r="AY20" s="371">
        <f>IF((R38="M3.2")*AND(R39&lt;&gt;""),VLOOKUP(R39,Barema!$BD$5:$BE$31,2),)</f>
        <v>0</v>
      </c>
      <c r="AZ20" s="371" t="s">
        <v>13</v>
      </c>
      <c r="BA20" s="439"/>
    </row>
    <row r="21" spans="1:54" s="376" customFormat="1" x14ac:dyDescent="0.2">
      <c r="A21" s="374"/>
      <c r="B21" s="362" t="s">
        <v>173</v>
      </c>
      <c r="C21" s="363" t="s">
        <v>266</v>
      </c>
      <c r="D21" s="364"/>
      <c r="E21" s="364"/>
      <c r="F21" s="365"/>
      <c r="G21" s="365"/>
      <c r="H21" s="365"/>
      <c r="I21" s="365"/>
      <c r="J21" s="375"/>
      <c r="K21" s="375"/>
      <c r="L21" s="366">
        <f>(G21-F21)+(I21-H21)+(K21-J21)</f>
        <v>0</v>
      </c>
      <c r="M21" s="366">
        <f t="shared" si="25"/>
        <v>0.6333333333333333</v>
      </c>
      <c r="N21" s="366">
        <f>IF(Jan!$H$48="x",AU21+Jan!$N$37,AU21)</f>
        <v>10.133333333333329</v>
      </c>
      <c r="O21" s="377" t="str">
        <f t="shared" si="21"/>
        <v>-</v>
      </c>
      <c r="P21" s="367">
        <f t="shared" si="22"/>
        <v>9.4999999999999964</v>
      </c>
      <c r="Q21" s="364">
        <f t="shared" si="0"/>
        <v>0</v>
      </c>
      <c r="R21" s="364">
        <f t="shared" si="1"/>
        <v>0</v>
      </c>
      <c r="S21" s="364">
        <f t="shared" si="2"/>
        <v>0</v>
      </c>
      <c r="T21" s="364">
        <f t="shared" si="3"/>
        <v>0</v>
      </c>
      <c r="U21" s="366">
        <f>L21</f>
        <v>0</v>
      </c>
      <c r="V21" s="366">
        <f t="shared" si="23"/>
        <v>0</v>
      </c>
      <c r="W21" s="366">
        <f t="shared" si="24"/>
        <v>0</v>
      </c>
      <c r="X21" s="364"/>
      <c r="Y21" s="365"/>
      <c r="Z21" s="365"/>
      <c r="AA21" s="368">
        <f t="shared" si="4"/>
        <v>0</v>
      </c>
      <c r="AB21" s="368">
        <f t="shared" si="5"/>
        <v>0</v>
      </c>
      <c r="AC21" s="368">
        <f t="shared" si="26"/>
        <v>0</v>
      </c>
      <c r="AD21" s="368">
        <f t="shared" si="6"/>
        <v>0</v>
      </c>
      <c r="AE21" s="369">
        <f t="shared" si="27"/>
        <v>0</v>
      </c>
      <c r="AF21" s="368">
        <f t="shared" si="28"/>
        <v>0</v>
      </c>
      <c r="AG21" s="369">
        <f t="shared" si="29"/>
        <v>0</v>
      </c>
      <c r="AH21" s="368">
        <f t="shared" si="7"/>
        <v>0</v>
      </c>
      <c r="AI21" s="370">
        <f>IF((D21&lt;&gt;""),VLOOKUP(D21,Data!$E$36:$H$53,4),)</f>
        <v>0</v>
      </c>
      <c r="AJ21" s="370">
        <f t="shared" si="8"/>
        <v>0</v>
      </c>
      <c r="AK21" s="371">
        <f t="shared" si="9"/>
        <v>0</v>
      </c>
      <c r="AL21" s="371">
        <f t="shared" si="10"/>
        <v>0</v>
      </c>
      <c r="AM21" s="372">
        <f t="shared" si="11"/>
        <v>0</v>
      </c>
      <c r="AN21" s="370">
        <f t="shared" si="12"/>
        <v>0</v>
      </c>
      <c r="AO21" s="373">
        <f t="shared" si="13"/>
        <v>0</v>
      </c>
      <c r="AP21" s="373">
        <f t="shared" si="14"/>
        <v>0</v>
      </c>
      <c r="AQ21" s="373">
        <f t="shared" si="15"/>
        <v>0</v>
      </c>
      <c r="AR21" s="373">
        <f t="shared" si="16"/>
        <v>0</v>
      </c>
      <c r="AS21" s="371">
        <f t="shared" si="17"/>
        <v>0</v>
      </c>
      <c r="AT21" s="371">
        <f t="shared" si="18"/>
        <v>0</v>
      </c>
      <c r="AU21" s="366">
        <f>IF(Data!$H$8="x",AV21,AW21)</f>
        <v>3.1666666666666661</v>
      </c>
      <c r="AV21" s="366">
        <f t="shared" si="19"/>
        <v>1.583333333333333</v>
      </c>
      <c r="AW21" s="366">
        <f>AW20</f>
        <v>3.1666666666666661</v>
      </c>
      <c r="AX21" s="362" t="str">
        <f t="shared" si="20"/>
        <v>Zo</v>
      </c>
      <c r="AY21" s="371">
        <f>IF((R38="M4.1")*AND(R39&lt;&gt;""),VLOOKUP(R39,Barema!$BG$5:$BH$34,2),)</f>
        <v>33625.599999999999</v>
      </c>
      <c r="AZ21" s="371" t="s">
        <v>14</v>
      </c>
      <c r="BA21" s="439"/>
    </row>
    <row r="22" spans="1:54" s="378" customFormat="1" x14ac:dyDescent="0.2">
      <c r="A22" s="309"/>
      <c r="B22" s="6" t="s">
        <v>175</v>
      </c>
      <c r="C22" s="311" t="s">
        <v>267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 t="shared" si="25"/>
        <v>0.6333333333333333</v>
      </c>
      <c r="N22" s="313">
        <f>IF(Jan!$H$48="x",AU22+Jan!$N$37,AU22)</f>
        <v>10.449999999999996</v>
      </c>
      <c r="O22" s="337" t="str">
        <f t="shared" si="21"/>
        <v>-</v>
      </c>
      <c r="P22" s="314">
        <f t="shared" si="22"/>
        <v>9.8166666666666629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6"/>
        <v>0</v>
      </c>
      <c r="AD22" s="315">
        <f t="shared" si="6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3.4833333333333325</v>
      </c>
      <c r="AV22" s="313">
        <f t="shared" si="19"/>
        <v>1.7416666666666663</v>
      </c>
      <c r="AW22" s="313">
        <f>IF(D22="V",AW21,(AW21+"07:36"))</f>
        <v>3.4833333333333325</v>
      </c>
      <c r="AX22" s="6" t="str">
        <f t="shared" si="20"/>
        <v>Ma</v>
      </c>
      <c r="AY22" s="4">
        <f>IF((R38="M4.2")*AND(R39&lt;&gt;""),VLOOKUP(R39,Barema!$BJ$5:$BK$31,2),)</f>
        <v>0</v>
      </c>
      <c r="AZ22" s="4" t="s">
        <v>15</v>
      </c>
      <c r="BA22" s="102"/>
    </row>
    <row r="23" spans="1:54" s="335" customFormat="1" x14ac:dyDescent="0.2">
      <c r="A23" s="302"/>
      <c r="B23" s="6" t="s">
        <v>177</v>
      </c>
      <c r="C23" s="311" t="s">
        <v>268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 t="shared" si="25"/>
        <v>0.6333333333333333</v>
      </c>
      <c r="N23" s="313">
        <f>IF(Jan!$H$48="x",AU23+Jan!$N$37,AU23)</f>
        <v>10.766666666666662</v>
      </c>
      <c r="O23" s="337" t="str">
        <f t="shared" si="21"/>
        <v>-</v>
      </c>
      <c r="P23" s="314">
        <f t="shared" si="22"/>
        <v>10.133333333333329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6"/>
        <v>0</v>
      </c>
      <c r="AD23" s="315">
        <f t="shared" si="6"/>
        <v>0</v>
      </c>
      <c r="AE23" s="316">
        <f t="shared" si="27"/>
        <v>0</v>
      </c>
      <c r="AF23" s="315">
        <f t="shared" si="28"/>
        <v>0</v>
      </c>
      <c r="AG23" s="316">
        <f t="shared" si="29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3.7999999999999989</v>
      </c>
      <c r="AV23" s="313">
        <f t="shared" si="19"/>
        <v>1.8999999999999995</v>
      </c>
      <c r="AW23" s="313">
        <f>IF(D23="V",AW22,(AW22+"07:36"))</f>
        <v>3.7999999999999989</v>
      </c>
      <c r="AX23" s="6" t="str">
        <f t="shared" si="20"/>
        <v>Di</v>
      </c>
      <c r="AY23" s="4">
        <f>IF((R38="M5.1")*AND(R39&lt;&gt;""),VLOOKUP(R39,Barema!$BM$5:$BN$34,2),)</f>
        <v>0</v>
      </c>
      <c r="AZ23" s="4" t="s">
        <v>16</v>
      </c>
      <c r="BA23" s="102"/>
      <c r="BB23"/>
    </row>
    <row r="24" spans="1:54" s="335" customFormat="1" x14ac:dyDescent="0.2">
      <c r="A24" s="302"/>
      <c r="B24" s="6" t="s">
        <v>179</v>
      </c>
      <c r="C24" s="311" t="s">
        <v>269</v>
      </c>
      <c r="D24" s="312"/>
      <c r="E24" s="312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 t="shared" si="25"/>
        <v>0.6333333333333333</v>
      </c>
      <c r="N24" s="313">
        <f>IF(Jan!$H$48="x",AU24+Jan!$N$37,AU24)</f>
        <v>11.083333333333329</v>
      </c>
      <c r="O24" s="337" t="str">
        <f t="shared" si="21"/>
        <v>-</v>
      </c>
      <c r="P24" s="314">
        <f t="shared" si="22"/>
        <v>10.449999999999996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6"/>
        <v>0</v>
      </c>
      <c r="AD24" s="315">
        <f t="shared" si="6"/>
        <v>0</v>
      </c>
      <c r="AE24" s="316">
        <f t="shared" si="27"/>
        <v>0</v>
      </c>
      <c r="AF24" s="315">
        <f t="shared" si="28"/>
        <v>0</v>
      </c>
      <c r="AG24" s="316">
        <f t="shared" si="29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4.1166666666666654</v>
      </c>
      <c r="AV24" s="313">
        <f t="shared" si="19"/>
        <v>2.0583333333333327</v>
      </c>
      <c r="AW24" s="313">
        <f>IF(D24="V",AW23,(AW23+"07:36"))</f>
        <v>4.1166666666666654</v>
      </c>
      <c r="AX24" s="6" t="str">
        <f t="shared" si="20"/>
        <v>Wo</v>
      </c>
      <c r="AY24" s="4">
        <f>IF((R38="M5.2")*AND(R39&lt;&gt;""),VLOOKUP(R39,Barema!$BP$5:$BQ$31,2),)</f>
        <v>0</v>
      </c>
      <c r="AZ24" s="4" t="s">
        <v>17</v>
      </c>
      <c r="BA24" s="102"/>
      <c r="BB24"/>
    </row>
    <row r="25" spans="1:54" x14ac:dyDescent="0.2">
      <c r="B25" s="6" t="s">
        <v>167</v>
      </c>
      <c r="C25" s="311" t="s">
        <v>270</v>
      </c>
      <c r="D25" s="312"/>
      <c r="E25" s="312"/>
      <c r="F25" s="274"/>
      <c r="G25" s="274"/>
      <c r="H25" s="310"/>
      <c r="I25" s="310"/>
      <c r="J25" s="310"/>
      <c r="K25" s="310"/>
      <c r="L25" s="313">
        <f>(G25-F25)+(I25-H25)+(K25-J25)+AI25+AN25</f>
        <v>0</v>
      </c>
      <c r="M25" s="313">
        <f>M24+L25</f>
        <v>0.6333333333333333</v>
      </c>
      <c r="N25" s="313">
        <f>IF(Jan!$H$48="x",AU25+Jan!$N$37,AU25)</f>
        <v>11.399999999999995</v>
      </c>
      <c r="O25" s="337" t="str">
        <f t="shared" si="21"/>
        <v>-</v>
      </c>
      <c r="P25" s="314">
        <f t="shared" si="22"/>
        <v>10.766666666666662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3"/>
        <v>0</v>
      </c>
      <c r="W25" s="313">
        <f t="shared" si="24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6"/>
        <v>0</v>
      </c>
      <c r="AD25" s="315">
        <f t="shared" si="6"/>
        <v>0</v>
      </c>
      <c r="AE25" s="316">
        <f t="shared" si="27"/>
        <v>0</v>
      </c>
      <c r="AF25" s="315">
        <f t="shared" si="28"/>
        <v>0</v>
      </c>
      <c r="AG25" s="316">
        <f t="shared" si="29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4.4333333333333318</v>
      </c>
      <c r="AV25" s="313">
        <f t="shared" si="19"/>
        <v>2.2166666666666659</v>
      </c>
      <c r="AW25" s="313">
        <f>IF(D25="V",AW24,(AW24+"07:36"))</f>
        <v>4.4333333333333318</v>
      </c>
      <c r="AX25" s="6" t="str">
        <f t="shared" si="20"/>
        <v>Do</v>
      </c>
      <c r="AY25" s="4">
        <f>IF((R38="M6")*AND(R39&lt;&gt;""),VLOOKUP(R38,Barema!$BS$5:$BT$31,2),)</f>
        <v>0</v>
      </c>
      <c r="AZ25" s="4" t="s">
        <v>18</v>
      </c>
      <c r="BA25" s="102"/>
    </row>
    <row r="26" spans="1:54" x14ac:dyDescent="0.2">
      <c r="B26" s="6" t="s">
        <v>169</v>
      </c>
      <c r="C26" s="311" t="s">
        <v>271</v>
      </c>
      <c r="D26" s="312"/>
      <c r="E26" s="312"/>
      <c r="F26" s="274"/>
      <c r="G26" s="274"/>
      <c r="H26" s="310"/>
      <c r="I26" s="310"/>
      <c r="J26" s="310"/>
      <c r="K26" s="310"/>
      <c r="L26" s="313">
        <f>(G26-F26)+(I26-H26)+(K26-J26)+AI26+AN26</f>
        <v>0</v>
      </c>
      <c r="M26" s="313">
        <f t="shared" si="25"/>
        <v>0.6333333333333333</v>
      </c>
      <c r="N26" s="313">
        <f>IF(Jan!$H$48="x",AU26+Jan!$N$37,AU26)</f>
        <v>11.716666666666661</v>
      </c>
      <c r="O26" s="337" t="str">
        <f t="shared" si="21"/>
        <v>-</v>
      </c>
      <c r="P26" s="314">
        <f t="shared" si="22"/>
        <v>11.083333333333329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6"/>
        <v>0</v>
      </c>
      <c r="AD26" s="315">
        <f t="shared" si="6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4.7499999999999982</v>
      </c>
      <c r="AV26" s="313">
        <f t="shared" si="19"/>
        <v>2.3749999999999991</v>
      </c>
      <c r="AW26" s="313">
        <f>IF(D26="V",AW25,(AW25+"07:36"))</f>
        <v>4.7499999999999982</v>
      </c>
      <c r="AX26" s="6" t="str">
        <f t="shared" si="20"/>
        <v>Vr</v>
      </c>
      <c r="AY26" s="4">
        <f>IF((R38="M7")*AND(R39&lt;&gt;""),VLOOKUP(R39,Barema!$BV$5:$BW$31,2),)</f>
        <v>0</v>
      </c>
      <c r="AZ26" s="4" t="s">
        <v>19</v>
      </c>
      <c r="BA26" s="102"/>
    </row>
    <row r="27" spans="1:54" s="376" customFormat="1" x14ac:dyDescent="0.2">
      <c r="A27" s="374"/>
      <c r="B27" s="362" t="s">
        <v>171</v>
      </c>
      <c r="C27" s="363" t="s">
        <v>272</v>
      </c>
      <c r="D27" s="364"/>
      <c r="E27" s="364"/>
      <c r="F27" s="365"/>
      <c r="G27" s="365"/>
      <c r="H27" s="365"/>
      <c r="I27" s="365"/>
      <c r="J27" s="375"/>
      <c r="K27" s="375"/>
      <c r="L27" s="366">
        <f>(G27-F27)+(I27-H27)+(K27-J27)</f>
        <v>0</v>
      </c>
      <c r="M27" s="366">
        <f t="shared" si="25"/>
        <v>0.6333333333333333</v>
      </c>
      <c r="N27" s="366">
        <f>IF(Jan!$H$48="x",AU27+Jan!$N$37,AU27)</f>
        <v>11.716666666666661</v>
      </c>
      <c r="O27" s="377" t="str">
        <f t="shared" si="21"/>
        <v>-</v>
      </c>
      <c r="P27" s="367">
        <f t="shared" si="22"/>
        <v>11.083333333333329</v>
      </c>
      <c r="Q27" s="364">
        <f t="shared" si="0"/>
        <v>0</v>
      </c>
      <c r="R27" s="364">
        <f t="shared" si="1"/>
        <v>0</v>
      </c>
      <c r="S27" s="364">
        <f t="shared" si="2"/>
        <v>0</v>
      </c>
      <c r="T27" s="364">
        <f t="shared" si="3"/>
        <v>0</v>
      </c>
      <c r="U27" s="366">
        <f>L27</f>
        <v>0</v>
      </c>
      <c r="V27" s="366">
        <f t="shared" si="23"/>
        <v>0</v>
      </c>
      <c r="W27" s="366">
        <f t="shared" si="24"/>
        <v>0</v>
      </c>
      <c r="X27" s="364"/>
      <c r="Y27" s="365"/>
      <c r="Z27" s="365"/>
      <c r="AA27" s="368">
        <f t="shared" si="4"/>
        <v>0</v>
      </c>
      <c r="AB27" s="368">
        <f t="shared" si="5"/>
        <v>0</v>
      </c>
      <c r="AC27" s="368">
        <f t="shared" si="26"/>
        <v>0</v>
      </c>
      <c r="AD27" s="368">
        <f t="shared" si="6"/>
        <v>0</v>
      </c>
      <c r="AE27" s="369">
        <f t="shared" si="27"/>
        <v>0</v>
      </c>
      <c r="AF27" s="368">
        <f t="shared" si="28"/>
        <v>0</v>
      </c>
      <c r="AG27" s="369">
        <f t="shared" si="29"/>
        <v>0</v>
      </c>
      <c r="AH27" s="368">
        <f t="shared" si="7"/>
        <v>0</v>
      </c>
      <c r="AI27" s="370">
        <f>IF((D27&lt;&gt;""),VLOOKUP(D27,Data!$E$36:$H$53,4),)</f>
        <v>0</v>
      </c>
      <c r="AJ27" s="370">
        <f t="shared" si="8"/>
        <v>0</v>
      </c>
      <c r="AK27" s="371">
        <f t="shared" si="9"/>
        <v>0</v>
      </c>
      <c r="AL27" s="371">
        <f t="shared" si="10"/>
        <v>0</v>
      </c>
      <c r="AM27" s="372">
        <f t="shared" si="11"/>
        <v>0</v>
      </c>
      <c r="AN27" s="370">
        <f t="shared" si="12"/>
        <v>0</v>
      </c>
      <c r="AO27" s="373">
        <f t="shared" si="13"/>
        <v>0</v>
      </c>
      <c r="AP27" s="373">
        <f t="shared" si="14"/>
        <v>0</v>
      </c>
      <c r="AQ27" s="373">
        <f t="shared" si="15"/>
        <v>0</v>
      </c>
      <c r="AR27" s="373">
        <f t="shared" si="16"/>
        <v>0</v>
      </c>
      <c r="AS27" s="371">
        <f t="shared" si="17"/>
        <v>0</v>
      </c>
      <c r="AT27" s="371">
        <f t="shared" si="18"/>
        <v>0</v>
      </c>
      <c r="AU27" s="366">
        <f>IF(Data!$H$8="x",AV27,AW27)</f>
        <v>4.7499999999999982</v>
      </c>
      <c r="AV27" s="366">
        <f t="shared" si="19"/>
        <v>2.3749999999999991</v>
      </c>
      <c r="AW27" s="366">
        <f>AW26</f>
        <v>4.7499999999999982</v>
      </c>
      <c r="AX27" s="362" t="str">
        <f t="shared" si="20"/>
        <v>Za</v>
      </c>
      <c r="AY27" s="371">
        <f>IF((R38="M7bis")*AND(R39&lt;&gt;""),VLOOKUP(R39,Barema!$BY$5:$BZ$31,2),)</f>
        <v>0</v>
      </c>
      <c r="AZ27" s="371" t="s">
        <v>20</v>
      </c>
      <c r="BA27" s="439"/>
    </row>
    <row r="28" spans="1:54" s="376" customFormat="1" x14ac:dyDescent="0.2">
      <c r="A28" s="374"/>
      <c r="B28" s="362" t="s">
        <v>173</v>
      </c>
      <c r="C28" s="363" t="s">
        <v>273</v>
      </c>
      <c r="D28" s="364"/>
      <c r="E28" s="364"/>
      <c r="F28" s="365"/>
      <c r="G28" s="365"/>
      <c r="H28" s="365"/>
      <c r="I28" s="365"/>
      <c r="J28" s="375"/>
      <c r="K28" s="375"/>
      <c r="L28" s="366">
        <f>(G28-F28)+(I28-H28)+(K28-J28)</f>
        <v>0</v>
      </c>
      <c r="M28" s="366">
        <f t="shared" si="25"/>
        <v>0.6333333333333333</v>
      </c>
      <c r="N28" s="366">
        <f>IF(Jan!$H$48="x",AU28+Jan!$N$37,AU28)</f>
        <v>11.716666666666661</v>
      </c>
      <c r="O28" s="377" t="str">
        <f t="shared" si="21"/>
        <v>-</v>
      </c>
      <c r="P28" s="367">
        <f t="shared" si="22"/>
        <v>11.083333333333329</v>
      </c>
      <c r="Q28" s="364">
        <f t="shared" si="0"/>
        <v>0</v>
      </c>
      <c r="R28" s="364">
        <f t="shared" si="1"/>
        <v>0</v>
      </c>
      <c r="S28" s="364">
        <f t="shared" si="2"/>
        <v>0</v>
      </c>
      <c r="T28" s="364">
        <f t="shared" si="3"/>
        <v>0</v>
      </c>
      <c r="U28" s="366">
        <f>L28</f>
        <v>0</v>
      </c>
      <c r="V28" s="366">
        <f t="shared" si="23"/>
        <v>0</v>
      </c>
      <c r="W28" s="366">
        <f t="shared" si="24"/>
        <v>0</v>
      </c>
      <c r="X28" s="364"/>
      <c r="Y28" s="365"/>
      <c r="Z28" s="365"/>
      <c r="AA28" s="368">
        <f t="shared" si="4"/>
        <v>0</v>
      </c>
      <c r="AB28" s="368">
        <f t="shared" si="5"/>
        <v>0</v>
      </c>
      <c r="AC28" s="368">
        <f t="shared" si="26"/>
        <v>0</v>
      </c>
      <c r="AD28" s="368">
        <f t="shared" si="6"/>
        <v>0</v>
      </c>
      <c r="AE28" s="369">
        <f t="shared" si="27"/>
        <v>0</v>
      </c>
      <c r="AF28" s="368">
        <f t="shared" si="28"/>
        <v>0</v>
      </c>
      <c r="AG28" s="369">
        <f t="shared" si="29"/>
        <v>0</v>
      </c>
      <c r="AH28" s="368">
        <f t="shared" si="7"/>
        <v>0</v>
      </c>
      <c r="AI28" s="370">
        <f>IF((D28&lt;&gt;""),VLOOKUP(D28,Data!$E$36:$H$53,4),)</f>
        <v>0</v>
      </c>
      <c r="AJ28" s="370">
        <f t="shared" si="8"/>
        <v>0</v>
      </c>
      <c r="AK28" s="371">
        <f t="shared" si="9"/>
        <v>0</v>
      </c>
      <c r="AL28" s="371">
        <f t="shared" si="10"/>
        <v>0</v>
      </c>
      <c r="AM28" s="372">
        <f t="shared" si="11"/>
        <v>0</v>
      </c>
      <c r="AN28" s="370">
        <f t="shared" si="12"/>
        <v>0</v>
      </c>
      <c r="AO28" s="373">
        <f t="shared" si="13"/>
        <v>0</v>
      </c>
      <c r="AP28" s="373">
        <f t="shared" si="14"/>
        <v>0</v>
      </c>
      <c r="AQ28" s="373">
        <f t="shared" si="15"/>
        <v>0</v>
      </c>
      <c r="AR28" s="373">
        <f t="shared" si="16"/>
        <v>0</v>
      </c>
      <c r="AS28" s="371">
        <f t="shared" si="17"/>
        <v>0</v>
      </c>
      <c r="AT28" s="371">
        <f t="shared" si="18"/>
        <v>0</v>
      </c>
      <c r="AU28" s="366">
        <f>IF(Data!$H$8="x",AV28,AW28)</f>
        <v>4.7499999999999982</v>
      </c>
      <c r="AV28" s="366">
        <f t="shared" si="19"/>
        <v>2.3749999999999991</v>
      </c>
      <c r="AW28" s="366">
        <f>AW27</f>
        <v>4.7499999999999982</v>
      </c>
      <c r="AX28" s="362" t="str">
        <f t="shared" si="20"/>
        <v>Zo</v>
      </c>
      <c r="AY28" s="371">
        <f>IF((R38="O1")*AND(R39&lt;&gt;""),VLOOKUP(R39,Barema!$Q$39:$R$65,2),)</f>
        <v>0</v>
      </c>
      <c r="AZ28" s="371" t="s">
        <v>21</v>
      </c>
      <c r="BA28" s="439"/>
    </row>
    <row r="29" spans="1:54" s="378" customFormat="1" x14ac:dyDescent="0.2">
      <c r="A29" s="309"/>
      <c r="B29" s="6" t="s">
        <v>175</v>
      </c>
      <c r="C29" s="311" t="s">
        <v>274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13">
        <f t="shared" si="25"/>
        <v>0.6333333333333333</v>
      </c>
      <c r="N29" s="313">
        <f>IF(Jan!$H$48="x",AU29+Jan!$N$37,AU29)</f>
        <v>12.033333333333328</v>
      </c>
      <c r="O29" s="337" t="str">
        <f t="shared" si="21"/>
        <v>-</v>
      </c>
      <c r="P29" s="314">
        <f t="shared" si="22"/>
        <v>11.399999999999995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6"/>
        <v>0</v>
      </c>
      <c r="AD29" s="315">
        <f t="shared" si="6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5.0666666666666647</v>
      </c>
      <c r="AV29" s="313">
        <f t="shared" si="19"/>
        <v>2.5333333333333323</v>
      </c>
      <c r="AW29" s="313">
        <f>IF(D29="V",AW28,(AW28+"07:36"))</f>
        <v>5.0666666666666647</v>
      </c>
      <c r="AX29" s="6" t="str">
        <f t="shared" si="20"/>
        <v>Ma</v>
      </c>
      <c r="AY29" s="4">
        <f>IF((R38="O2")*AND(R39&lt;&gt;""),VLOOKUP(R39,Barema!$T$39:$U$65,2),)</f>
        <v>0</v>
      </c>
      <c r="AZ29" s="4" t="s">
        <v>22</v>
      </c>
      <c r="BA29" s="102"/>
    </row>
    <row r="30" spans="1:54" s="335" customFormat="1" x14ac:dyDescent="0.2">
      <c r="A30" s="302"/>
      <c r="B30" s="6" t="s">
        <v>177</v>
      </c>
      <c r="C30" s="311" t="s">
        <v>275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13">
        <f t="shared" si="25"/>
        <v>0.6333333333333333</v>
      </c>
      <c r="N30" s="313">
        <f>IF(Jan!$H$48="x",AU30+Jan!$N$37,AU30)</f>
        <v>12.349999999999994</v>
      </c>
      <c r="O30" s="337" t="str">
        <f t="shared" si="21"/>
        <v>-</v>
      </c>
      <c r="P30" s="314">
        <f t="shared" si="22"/>
        <v>11.716666666666661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6"/>
        <v>0</v>
      </c>
      <c r="AD30" s="315">
        <f t="shared" si="6"/>
        <v>0</v>
      </c>
      <c r="AE30" s="316">
        <f t="shared" si="27"/>
        <v>0</v>
      </c>
      <c r="AF30" s="315">
        <f t="shared" si="28"/>
        <v>0</v>
      </c>
      <c r="AG30" s="316">
        <f t="shared" si="29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5.3833333333333311</v>
      </c>
      <c r="AV30" s="313">
        <f t="shared" si="19"/>
        <v>2.6916666666666655</v>
      </c>
      <c r="AW30" s="313">
        <f>IF(D30="V",AW29,(AW29+"07:36"))</f>
        <v>5.3833333333333311</v>
      </c>
      <c r="AX30" s="6" t="str">
        <f t="shared" si="20"/>
        <v>Di</v>
      </c>
      <c r="AY30" s="4">
        <f>IF((R38="O2ir")*AND(R39&lt;&gt;""),VLOOKUP(R39,Barema!$AR$39:$AS$65,2),)</f>
        <v>0</v>
      </c>
      <c r="AZ30" s="4" t="s">
        <v>30</v>
      </c>
      <c r="BA30" s="102"/>
      <c r="BB30"/>
    </row>
    <row r="31" spans="1:54" s="335" customFormat="1" x14ac:dyDescent="0.2">
      <c r="A31" s="302"/>
      <c r="B31" s="6" t="s">
        <v>179</v>
      </c>
      <c r="C31" s="311" t="s">
        <v>276</v>
      </c>
      <c r="D31" s="312"/>
      <c r="E31" s="312"/>
      <c r="F31" s="274"/>
      <c r="G31" s="274"/>
      <c r="H31" s="310"/>
      <c r="I31" s="310"/>
      <c r="J31" s="336"/>
      <c r="K31" s="336"/>
      <c r="L31" s="313">
        <f>(G31-F31)+(I31-H31)+(K31-J31)+AI31+AN31</f>
        <v>0</v>
      </c>
      <c r="M31" s="313">
        <f t="shared" si="25"/>
        <v>0.6333333333333333</v>
      </c>
      <c r="N31" s="313">
        <f>IF(Jan!$H$48="x",AU31+Jan!$N$37,AU31)</f>
        <v>12.666666666666661</v>
      </c>
      <c r="O31" s="337" t="str">
        <f t="shared" si="21"/>
        <v>-</v>
      </c>
      <c r="P31" s="314">
        <f t="shared" si="22"/>
        <v>12.033333333333328</v>
      </c>
      <c r="Q31" s="312">
        <f t="shared" si="0"/>
        <v>0</v>
      </c>
      <c r="R31" s="312">
        <f t="shared" si="1"/>
        <v>0</v>
      </c>
      <c r="S31" s="312">
        <f t="shared" si="2"/>
        <v>0</v>
      </c>
      <c r="T31" s="312">
        <f t="shared" si="3"/>
        <v>0</v>
      </c>
      <c r="U31" s="313">
        <f>IF(D31="F",L31,0)</f>
        <v>0</v>
      </c>
      <c r="V31" s="313">
        <f t="shared" si="23"/>
        <v>0</v>
      </c>
      <c r="W31" s="313">
        <f t="shared" si="24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6"/>
        <v>0</v>
      </c>
      <c r="AD31" s="315">
        <f t="shared" si="6"/>
        <v>0</v>
      </c>
      <c r="AE31" s="316">
        <f t="shared" si="27"/>
        <v>0</v>
      </c>
      <c r="AF31" s="315">
        <f t="shared" si="28"/>
        <v>0</v>
      </c>
      <c r="AG31" s="316">
        <f t="shared" si="29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5.6999999999999975</v>
      </c>
      <c r="AV31" s="313">
        <f t="shared" si="19"/>
        <v>2.8499999999999988</v>
      </c>
      <c r="AW31" s="313">
        <f>IF(D31="V",AW30,(AW30+"07:36"))</f>
        <v>5.6999999999999975</v>
      </c>
      <c r="AX31" s="6" t="str">
        <f t="shared" si="20"/>
        <v>Wo</v>
      </c>
      <c r="AY31" s="4">
        <f>IF((R38="O3")*AND(R39&lt;&gt;""),VLOOKUP(R39,Barema!$W$39:$X$65,2),)</f>
        <v>0</v>
      </c>
      <c r="AZ31" s="4" t="s">
        <v>23</v>
      </c>
      <c r="BA31" s="102"/>
      <c r="BB31"/>
    </row>
    <row r="32" spans="1:54" x14ac:dyDescent="0.2">
      <c r="B32" s="273" t="s">
        <v>167</v>
      </c>
      <c r="C32" s="311" t="s">
        <v>277</v>
      </c>
      <c r="D32" s="312"/>
      <c r="E32" s="312"/>
      <c r="F32" s="274"/>
      <c r="G32" s="274"/>
      <c r="H32" s="310"/>
      <c r="I32" s="310"/>
      <c r="J32" s="310"/>
      <c r="K32" s="310"/>
      <c r="L32" s="313">
        <f>(G32-F32)+(I32-H32)+(K32-J32)+AI32+AN32</f>
        <v>0</v>
      </c>
      <c r="M32" s="313">
        <f>M31+L32</f>
        <v>0.6333333333333333</v>
      </c>
      <c r="N32" s="313">
        <f>IF(Jan!$H$48="x",AU32+Jan!$N$37,AU32)</f>
        <v>12.983333333333327</v>
      </c>
      <c r="O32" s="337" t="str">
        <f t="shared" si="21"/>
        <v>-</v>
      </c>
      <c r="P32" s="314">
        <f t="shared" si="22"/>
        <v>12.349999999999994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13">
        <f>IF(D32="F",L32,0)</f>
        <v>0</v>
      </c>
      <c r="V32" s="313">
        <f t="shared" si="23"/>
        <v>0</v>
      </c>
      <c r="W32" s="313">
        <f t="shared" si="24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6"/>
        <v>0</v>
      </c>
      <c r="AD32" s="315">
        <f t="shared" si="6"/>
        <v>0</v>
      </c>
      <c r="AE32" s="316">
        <f t="shared" si="27"/>
        <v>0</v>
      </c>
      <c r="AF32" s="315">
        <f t="shared" si="28"/>
        <v>0</v>
      </c>
      <c r="AG32" s="316">
        <f t="shared" si="29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6.0166666666666639</v>
      </c>
      <c r="AV32" s="313">
        <f t="shared" si="19"/>
        <v>3.008333333333332</v>
      </c>
      <c r="AW32" s="313">
        <f>IF(D32="V",AW31,(AW31+"07:36"))</f>
        <v>6.0166666666666639</v>
      </c>
      <c r="AX32" s="6" t="str">
        <f t="shared" si="20"/>
        <v>Do</v>
      </c>
      <c r="AY32" s="4">
        <f>IF((R38="O3ir")*AND(R39&lt;&gt;""),VLOOKUP(R39,Barema!$AU$39:$AV$65,2),)</f>
        <v>0</v>
      </c>
      <c r="AZ32" s="4" t="s">
        <v>31</v>
      </c>
      <c r="BA32" s="102"/>
    </row>
    <row r="33" spans="1:54" x14ac:dyDescent="0.2">
      <c r="B33" s="6" t="s">
        <v>169</v>
      </c>
      <c r="C33" s="311" t="s">
        <v>278</v>
      </c>
      <c r="D33" s="312"/>
      <c r="E33" s="312"/>
      <c r="F33" s="274"/>
      <c r="G33" s="274"/>
      <c r="H33" s="310"/>
      <c r="I33" s="310"/>
      <c r="J33" s="310"/>
      <c r="K33" s="310"/>
      <c r="L33" s="313">
        <f>(G33-F33)+(I33-H33)+(K33-J33)+AI33+AN33</f>
        <v>0</v>
      </c>
      <c r="M33" s="313">
        <f t="shared" si="25"/>
        <v>0.6333333333333333</v>
      </c>
      <c r="N33" s="313">
        <f>IF(Jan!$H$48="x",AU33+Jan!$N$37,AU33)</f>
        <v>13.299999999999994</v>
      </c>
      <c r="O33" s="337" t="str">
        <f t="shared" si="21"/>
        <v>-</v>
      </c>
      <c r="P33" s="314">
        <f t="shared" si="22"/>
        <v>12.666666666666661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13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6.3333333333333304</v>
      </c>
      <c r="AV33" s="313">
        <f t="shared" si="19"/>
        <v>3.1666666666666652</v>
      </c>
      <c r="AW33" s="313">
        <f>IF(D33="V",AW32,(AW32+"07:36"))</f>
        <v>6.3333333333333304</v>
      </c>
      <c r="AX33" s="6" t="str">
        <f t="shared" si="20"/>
        <v>Vr</v>
      </c>
      <c r="AY33" s="4">
        <f>IF((R38="O4")*AND(R39&lt;&gt;""),VLOOKUP(R39,Barema!$Z$39:$AA$65,2),)</f>
        <v>0</v>
      </c>
      <c r="AZ33" s="4" t="s">
        <v>24</v>
      </c>
      <c r="BA33" s="102"/>
    </row>
    <row r="34" spans="1:54" s="376" customFormat="1" x14ac:dyDescent="0.2">
      <c r="A34" s="374"/>
      <c r="B34" s="362" t="s">
        <v>171</v>
      </c>
      <c r="C34" s="363" t="s">
        <v>279</v>
      </c>
      <c r="D34" s="364"/>
      <c r="E34" s="364"/>
      <c r="F34" s="365"/>
      <c r="G34" s="365"/>
      <c r="H34" s="365"/>
      <c r="I34" s="365"/>
      <c r="J34" s="365"/>
      <c r="K34" s="365"/>
      <c r="L34" s="366">
        <f>(G34-F34)+(I34-H34)+(K34-J34)</f>
        <v>0</v>
      </c>
      <c r="M34" s="366">
        <f>M33+L34</f>
        <v>0.6333333333333333</v>
      </c>
      <c r="N34" s="366">
        <f>IF(Jan!$H$48="x",AU34+Jan!$N$37,AU34)</f>
        <v>13.299999999999994</v>
      </c>
      <c r="O34" s="377" t="str">
        <f>IF((M34-N34-U$4)&lt;0,"-","+")</f>
        <v>-</v>
      </c>
      <c r="P34" s="367">
        <f>ABS(M34-N34-U$4)</f>
        <v>12.666666666666661</v>
      </c>
      <c r="Q34" s="364">
        <f t="shared" si="0"/>
        <v>0</v>
      </c>
      <c r="R34" s="364">
        <f t="shared" si="1"/>
        <v>0</v>
      </c>
      <c r="S34" s="364">
        <f t="shared" si="2"/>
        <v>0</v>
      </c>
      <c r="T34" s="364">
        <f t="shared" si="3"/>
        <v>0</v>
      </c>
      <c r="U34" s="366">
        <f>L34</f>
        <v>0</v>
      </c>
      <c r="V34" s="366">
        <f t="shared" si="23"/>
        <v>0</v>
      </c>
      <c r="W34" s="366">
        <f t="shared" si="24"/>
        <v>0</v>
      </c>
      <c r="X34" s="364"/>
      <c r="Y34" s="365"/>
      <c r="Z34" s="365"/>
      <c r="AA34" s="368">
        <f t="shared" si="4"/>
        <v>0</v>
      </c>
      <c r="AB34" s="368">
        <f t="shared" si="5"/>
        <v>0</v>
      </c>
      <c r="AC34" s="368">
        <f>AA34+AB34</f>
        <v>0</v>
      </c>
      <c r="AD34" s="368">
        <f t="shared" si="6"/>
        <v>0</v>
      </c>
      <c r="AE34" s="369">
        <f>AA34-AD34</f>
        <v>0</v>
      </c>
      <c r="AF34" s="368">
        <f>AH34+AD34</f>
        <v>0</v>
      </c>
      <c r="AG34" s="369">
        <f>AC34</f>
        <v>0</v>
      </c>
      <c r="AH34" s="368">
        <f t="shared" si="7"/>
        <v>0</v>
      </c>
      <c r="AI34" s="370">
        <f>IF((D34&lt;&gt;""),VLOOKUP(D34,Data!$E$36:$H$53,4),)</f>
        <v>0</v>
      </c>
      <c r="AJ34" s="370">
        <f t="shared" si="8"/>
        <v>0</v>
      </c>
      <c r="AK34" s="371">
        <f t="shared" si="9"/>
        <v>0</v>
      </c>
      <c r="AL34" s="371">
        <f t="shared" si="10"/>
        <v>0</v>
      </c>
      <c r="AM34" s="372">
        <f t="shared" si="11"/>
        <v>0</v>
      </c>
      <c r="AN34" s="370">
        <f t="shared" si="12"/>
        <v>0</v>
      </c>
      <c r="AO34" s="373">
        <f t="shared" si="13"/>
        <v>0</v>
      </c>
      <c r="AP34" s="373">
        <f t="shared" si="14"/>
        <v>0</v>
      </c>
      <c r="AQ34" s="373">
        <f t="shared" si="15"/>
        <v>0</v>
      </c>
      <c r="AR34" s="373">
        <f t="shared" si="16"/>
        <v>0</v>
      </c>
      <c r="AS34" s="371">
        <f t="shared" si="17"/>
        <v>0</v>
      </c>
      <c r="AT34" s="371">
        <f t="shared" si="18"/>
        <v>0</v>
      </c>
      <c r="AU34" s="366">
        <f>IF(Data!$H$8="x",AV34,AW34)</f>
        <v>6.3333333333333304</v>
      </c>
      <c r="AV34" s="366">
        <f>AW34/2</f>
        <v>3.1666666666666652</v>
      </c>
      <c r="AW34" s="366">
        <f>AW33</f>
        <v>6.3333333333333304</v>
      </c>
      <c r="AX34" s="362" t="str">
        <f t="shared" si="20"/>
        <v>Za</v>
      </c>
      <c r="AY34" s="371">
        <f>IF((R38="O4bis")*AND(R39&lt;&gt;""),VLOOKUP(R39,Barema!$BG$39:$BH$65,2),)</f>
        <v>0</v>
      </c>
      <c r="AZ34" s="371" t="s">
        <v>35</v>
      </c>
      <c r="BA34" s="439"/>
    </row>
    <row r="35" spans="1:54" s="378" customFormat="1" x14ac:dyDescent="0.2">
      <c r="A35" s="309"/>
      <c r="B35" s="4"/>
      <c r="C35" s="379"/>
      <c r="D35" s="342"/>
      <c r="E35" s="342"/>
      <c r="F35" s="380"/>
      <c r="G35" s="380"/>
      <c r="H35" s="380"/>
      <c r="I35" s="380"/>
      <c r="J35" s="380"/>
      <c r="K35" s="380"/>
      <c r="L35" s="152"/>
      <c r="M35" s="152"/>
      <c r="N35" s="152"/>
      <c r="O35" s="1"/>
      <c r="P35" s="152"/>
      <c r="Q35" s="342"/>
      <c r="R35" s="342"/>
      <c r="S35" s="342"/>
      <c r="T35" s="342"/>
      <c r="U35" s="152"/>
      <c r="V35" s="152"/>
      <c r="W35" s="152"/>
      <c r="X35" s="342"/>
      <c r="Y35" s="380"/>
      <c r="Z35" s="380"/>
      <c r="AA35" s="315"/>
      <c r="AB35" s="315"/>
      <c r="AC35" s="315"/>
      <c r="AD35" s="315"/>
      <c r="AE35" s="316"/>
      <c r="AF35" s="315"/>
      <c r="AG35" s="316"/>
      <c r="AH35" s="315"/>
      <c r="AI35" s="123"/>
      <c r="AJ35" s="123"/>
      <c r="AK35" s="4"/>
      <c r="AL35" s="4"/>
      <c r="AM35" s="1"/>
      <c r="AN35" s="123"/>
      <c r="AO35" s="317"/>
      <c r="AP35" s="317"/>
      <c r="AQ35" s="317"/>
      <c r="AR35" s="317"/>
      <c r="AS35" s="4"/>
      <c r="AT35" s="4"/>
      <c r="AU35" s="313"/>
      <c r="AV35" s="313"/>
      <c r="AW35" s="313"/>
      <c r="AX35" s="313"/>
      <c r="AY35" s="4">
        <f>IF((R38="O4bis-ir")*AND(R39&lt;&gt;""),VLOOKUP(R39,Barema!$AO$39:$AP$65,2),)</f>
        <v>0</v>
      </c>
      <c r="AZ35" s="4" t="s">
        <v>29</v>
      </c>
      <c r="BA35" s="4"/>
      <c r="BB35" s="102"/>
    </row>
    <row r="36" spans="1:54" x14ac:dyDescent="0.2">
      <c r="C36" s="4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23">
        <f t="shared" ref="AB36:AI36" si="30">SUM(AA7:AA34)</f>
        <v>0</v>
      </c>
      <c r="AC36" s="123">
        <f t="shared" si="30"/>
        <v>0</v>
      </c>
      <c r="AD36" s="123">
        <f t="shared" si="30"/>
        <v>0</v>
      </c>
      <c r="AE36" s="123">
        <f t="shared" si="30"/>
        <v>0</v>
      </c>
      <c r="AF36" s="123">
        <f t="shared" si="30"/>
        <v>0</v>
      </c>
      <c r="AG36" s="123">
        <f t="shared" si="30"/>
        <v>0</v>
      </c>
      <c r="AH36" s="152">
        <f t="shared" si="30"/>
        <v>0</v>
      </c>
      <c r="AI36" s="123">
        <f t="shared" si="30"/>
        <v>0</v>
      </c>
      <c r="AK36" s="123">
        <f>SUM(AJ7:AJ34)</f>
        <v>0</v>
      </c>
      <c r="AM36" s="4">
        <f>SUM(AL7:AL34)+AT36</f>
        <v>0</v>
      </c>
      <c r="AN36" s="1"/>
      <c r="AO36" s="123"/>
      <c r="AP36" s="4">
        <f>SUM(AO7:AO34)</f>
        <v>0</v>
      </c>
      <c r="AQ36" s="4">
        <f>SUM(AP7:AP34)</f>
        <v>0</v>
      </c>
      <c r="AR36" s="4">
        <f>SUM(AQ7:AQ34)</f>
        <v>0</v>
      </c>
      <c r="AS36" s="4">
        <f>SUM(AR7:AR34)</f>
        <v>0</v>
      </c>
      <c r="AT36" s="4">
        <f>SUM(AS7:AS34)</f>
        <v>0</v>
      </c>
      <c r="AU36" s="4">
        <f>SUM(AT7:AT34)+AT36</f>
        <v>0</v>
      </c>
      <c r="AV36" s="152"/>
      <c r="AW36" s="152"/>
      <c r="AY36" s="300">
        <f>IF((R38="O4ir")*AND(R39&lt;&gt;""),VLOOKUP(R39,Barema!$AX$39:$AY$65,2),)</f>
        <v>0</v>
      </c>
      <c r="AZ36" s="300" t="s">
        <v>32</v>
      </c>
      <c r="BB36" s="4"/>
    </row>
    <row r="37" spans="1:54" x14ac:dyDescent="0.2">
      <c r="C37" s="166" t="s">
        <v>92</v>
      </c>
      <c r="D37" s="24"/>
      <c r="E37" s="24"/>
      <c r="F37" s="24"/>
      <c r="G37" s="24"/>
      <c r="H37" s="24"/>
      <c r="I37" s="1"/>
      <c r="W37" s="70"/>
      <c r="X37" s="70"/>
      <c r="Z37" s="74" t="s">
        <v>205</v>
      </c>
      <c r="AA37" s="260" t="s">
        <v>206</v>
      </c>
      <c r="AB37" s="123">
        <f t="shared" ref="AB37:AI37" si="31">IF((MINUTE(AB36)&gt;=30),(AB36+0.041666667),AB36)</f>
        <v>0</v>
      </c>
      <c r="AC37" s="123">
        <f t="shared" si="31"/>
        <v>0</v>
      </c>
      <c r="AD37" s="123">
        <f t="shared" si="31"/>
        <v>0</v>
      </c>
      <c r="AE37" s="123">
        <f t="shared" si="31"/>
        <v>0</v>
      </c>
      <c r="AF37" s="123">
        <f t="shared" si="31"/>
        <v>0</v>
      </c>
      <c r="AG37" s="123">
        <f t="shared" si="31"/>
        <v>0</v>
      </c>
      <c r="AH37" s="152">
        <f t="shared" si="31"/>
        <v>0</v>
      </c>
      <c r="AI37" s="123">
        <f t="shared" si="31"/>
        <v>0</v>
      </c>
      <c r="AK37" s="123">
        <f>IF((MINUTE(AK36)&gt;=30),(AK36+0.041666667),AK36)</f>
        <v>0</v>
      </c>
      <c r="AM37" s="62">
        <f>AM36*(6.7*AA38)</f>
        <v>0</v>
      </c>
      <c r="AN37" s="1">
        <f>SUM(AM5:AM34)</f>
        <v>0</v>
      </c>
      <c r="AO37" s="123"/>
      <c r="AP37" s="4"/>
      <c r="AQ37" s="4"/>
      <c r="AR37" s="4"/>
      <c r="AS37" s="4"/>
      <c r="AT37" s="4"/>
      <c r="AU37" s="4"/>
      <c r="AV37" s="152"/>
      <c r="AW37" s="152"/>
      <c r="AY37" s="4">
        <f>IF((R38="O5")*AND(R39&lt;&gt;""),VLOOKUP(R39,Barema!$AC$39:$AD$65,2),)</f>
        <v>0</v>
      </c>
      <c r="AZ37" s="4" t="s">
        <v>25</v>
      </c>
      <c r="BB37" s="4"/>
    </row>
    <row r="38" spans="1:54" x14ac:dyDescent="0.2">
      <c r="C38" s="42" t="s">
        <v>207</v>
      </c>
      <c r="D38" s="43"/>
      <c r="E38" s="43"/>
      <c r="F38" s="43"/>
      <c r="G38" s="44"/>
      <c r="H38" s="28">
        <f>Jan!$H$45</f>
        <v>36</v>
      </c>
      <c r="I38" s="4"/>
      <c r="J38" s="9" t="s">
        <v>280</v>
      </c>
      <c r="K38" s="10"/>
      <c r="L38" s="11"/>
      <c r="M38" s="10"/>
      <c r="N38" s="10"/>
      <c r="O38" s="10"/>
      <c r="P38" s="11"/>
      <c r="Q38" s="11"/>
      <c r="R38" s="441" t="s">
        <v>14</v>
      </c>
      <c r="S38" s="442"/>
      <c r="T38" s="319" t="s">
        <v>696</v>
      </c>
      <c r="U38" s="320"/>
      <c r="V38" s="321"/>
      <c r="W38" s="107"/>
      <c r="X38" s="1"/>
      <c r="Z38" s="132">
        <v>2.1223000000000001</v>
      </c>
      <c r="AA38" s="261">
        <f>Z38</f>
        <v>2.1223000000000001</v>
      </c>
      <c r="AB38" s="123">
        <f t="shared" ref="AB38:AI38" si="32">IF(MINUTE(AB37)&gt;0,FLOOR(AB37,0.041666667),AB37)</f>
        <v>0</v>
      </c>
      <c r="AC38" s="123">
        <f t="shared" si="32"/>
        <v>0</v>
      </c>
      <c r="AD38" s="123">
        <f t="shared" si="32"/>
        <v>0</v>
      </c>
      <c r="AE38" s="123">
        <f t="shared" si="32"/>
        <v>0</v>
      </c>
      <c r="AF38" s="123">
        <f t="shared" si="32"/>
        <v>0</v>
      </c>
      <c r="AG38" s="123">
        <f t="shared" si="32"/>
        <v>0</v>
      </c>
      <c r="AH38" s="152">
        <f t="shared" si="32"/>
        <v>0</v>
      </c>
      <c r="AI38" s="123">
        <f t="shared" si="32"/>
        <v>0</v>
      </c>
      <c r="AK38" s="140">
        <f>IF(MINUTE(AK37)&gt;0,FLOOR(AK37,0.041666667),AK37)</f>
        <v>0</v>
      </c>
      <c r="AL38" s="4"/>
      <c r="AM38" s="4"/>
      <c r="AO38" s="123"/>
      <c r="AP38" s="4"/>
      <c r="AQ38" s="4"/>
      <c r="AR38" s="4"/>
      <c r="AS38" s="4"/>
      <c r="AY38" s="4">
        <f>IF((R38="O5ir")*AND(R39&lt;&gt;""),VLOOKUP(R39,Barema!$BA$39:$BB$65,2),)</f>
        <v>0</v>
      </c>
      <c r="AZ38" s="4" t="s">
        <v>33</v>
      </c>
      <c r="BB38" s="4"/>
    </row>
    <row r="39" spans="1:54" ht="13.5" thickBot="1" x14ac:dyDescent="0.25">
      <c r="C39" s="42" t="s">
        <v>210</v>
      </c>
      <c r="D39" s="43"/>
      <c r="E39" s="43"/>
      <c r="F39" s="43"/>
      <c r="G39" s="144" t="s">
        <v>211</v>
      </c>
      <c r="H39" s="81">
        <v>0</v>
      </c>
      <c r="J39" s="12" t="s">
        <v>281</v>
      </c>
      <c r="K39" s="13"/>
      <c r="L39" s="14"/>
      <c r="M39" s="13"/>
      <c r="N39" s="13"/>
      <c r="O39" s="13"/>
      <c r="P39" s="14"/>
      <c r="Q39" s="14"/>
      <c r="R39" s="443">
        <v>28</v>
      </c>
      <c r="S39" s="444"/>
      <c r="T39" s="328">
        <f>AY55</f>
        <v>33625.599999999999</v>
      </c>
      <c r="U39" s="330"/>
      <c r="V39" s="331"/>
      <c r="W39" s="318"/>
      <c r="X39" s="318"/>
      <c r="Z39" s="1"/>
      <c r="AA39" s="1"/>
      <c r="AG39" s="88"/>
      <c r="AH39" s="10" t="s">
        <v>217</v>
      </c>
      <c r="AI39" s="10"/>
      <c r="AJ39" s="89"/>
      <c r="AK39" s="78" t="s">
        <v>219</v>
      </c>
      <c r="AL39" s="10"/>
      <c r="AM39" s="89"/>
      <c r="AP39" s="4"/>
      <c r="AQ39" s="4"/>
      <c r="AR39" s="4"/>
      <c r="AS39" s="4"/>
      <c r="AT39" s="4"/>
      <c r="AU39" s="4"/>
      <c r="AY39" s="4">
        <f>IF((R38="O6")*AND(R39&lt;&gt;""),VLOOKUP(R39,Barema!$AF$39:$AG$65,2),)</f>
        <v>0</v>
      </c>
      <c r="AZ39" s="4" t="s">
        <v>26</v>
      </c>
      <c r="BB39" s="4"/>
    </row>
    <row r="40" spans="1:54" ht="13.5" thickTop="1" x14ac:dyDescent="0.2">
      <c r="C40" s="308" t="s">
        <v>695</v>
      </c>
      <c r="F40" s="4"/>
      <c r="G40" s="145" t="s">
        <v>211</v>
      </c>
      <c r="H40" s="79">
        <f>AN37</f>
        <v>0</v>
      </c>
      <c r="I40" s="32"/>
      <c r="J40" s="15" t="s">
        <v>213</v>
      </c>
      <c r="K40" s="4"/>
      <c r="L40" s="63"/>
      <c r="M40" s="275">
        <f>AK38</f>
        <v>0</v>
      </c>
      <c r="N40" s="4" t="s">
        <v>214</v>
      </c>
      <c r="O40" s="54"/>
      <c r="P40" s="1"/>
      <c r="Q40" s="63"/>
      <c r="R40" s="1"/>
      <c r="S40" s="15"/>
      <c r="T40" s="54"/>
      <c r="U40" s="325">
        <f>(M40*AK41/0.041666667)</f>
        <v>0</v>
      </c>
      <c r="V40" s="19" t="s">
        <v>215</v>
      </c>
      <c r="W40" s="106"/>
      <c r="X40" s="1"/>
      <c r="Y40" s="134" t="s">
        <v>216</v>
      </c>
      <c r="Z40" s="135"/>
      <c r="AG40" s="15"/>
      <c r="AH40" s="4">
        <f>X39*1.2434/1850</f>
        <v>0</v>
      </c>
      <c r="AI40" s="4"/>
      <c r="AJ40" s="33"/>
      <c r="AK40" s="198">
        <f>(T39*Z38)/1850</f>
        <v>38.574924799999998</v>
      </c>
      <c r="AL40" s="4" t="s">
        <v>218</v>
      </c>
      <c r="AM40" s="33"/>
      <c r="AP40" s="4"/>
      <c r="AQ40" s="4"/>
      <c r="AR40" s="4"/>
      <c r="AS40" s="4"/>
      <c r="AT40" s="4"/>
      <c r="AU40" s="4"/>
      <c r="AY40" s="4">
        <f>IF((R38="O6ir")*AND(R39&lt;&gt;""),VLOOKUP(R39,Barema!$BD$39:$BE$65,2),)</f>
        <v>0</v>
      </c>
      <c r="AZ40" s="4" t="s">
        <v>34</v>
      </c>
      <c r="BB40" s="4"/>
    </row>
    <row r="41" spans="1:54" x14ac:dyDescent="0.2">
      <c r="C41" s="42" t="s">
        <v>220</v>
      </c>
      <c r="D41" s="43"/>
      <c r="E41" s="43"/>
      <c r="F41" s="43"/>
      <c r="G41" s="144" t="s">
        <v>221</v>
      </c>
      <c r="H41" s="28">
        <f>AB41+(AB42/2)+(AB43/2)</f>
        <v>0</v>
      </c>
      <c r="J41" s="15" t="s">
        <v>224</v>
      </c>
      <c r="M41" s="141">
        <f>AF38</f>
        <v>0</v>
      </c>
      <c r="N41" s="4" t="s">
        <v>214</v>
      </c>
      <c r="O41" s="4"/>
      <c r="P41" s="4"/>
      <c r="Q41" s="4"/>
      <c r="R41" s="4"/>
      <c r="S41" s="15"/>
      <c r="T41" s="54"/>
      <c r="U41" s="325">
        <f>(M41*AK49/0.041666667)</f>
        <v>0</v>
      </c>
      <c r="V41" s="19" t="s">
        <v>215</v>
      </c>
      <c r="W41" s="106"/>
      <c r="X41" s="1"/>
      <c r="Y41" s="136" t="s">
        <v>222</v>
      </c>
      <c r="Z41" s="137"/>
      <c r="AB41" s="4">
        <f>COUNTIF(AK7:AK34,"1")</f>
        <v>0</v>
      </c>
      <c r="AG41" s="198" t="s">
        <v>122</v>
      </c>
      <c r="AH41" s="4">
        <f>AH40*0.9645*AK48/100*1.45</f>
        <v>0</v>
      </c>
      <c r="AI41" s="4"/>
      <c r="AJ41" s="33"/>
      <c r="AK41" s="198">
        <f>(AK40*0.9645)*AK48/100</f>
        <v>17.300564460863999</v>
      </c>
      <c r="AL41" s="4" t="s">
        <v>223</v>
      </c>
      <c r="AM41" s="33"/>
      <c r="AP41" s="4"/>
      <c r="AQ41" s="4"/>
      <c r="AR41" s="4"/>
      <c r="AS41" s="4"/>
      <c r="AT41" s="4"/>
      <c r="AU41" s="4"/>
      <c r="AY41" s="4">
        <f>IF((R38="O7")*AND(R39&lt;&gt;""),VLOOKUP(R39,Barema!$AI$39:$AJ$68,2),)</f>
        <v>0</v>
      </c>
      <c r="AZ41" s="4" t="s">
        <v>27</v>
      </c>
      <c r="BB41" s="2"/>
    </row>
    <row r="42" spans="1:54" x14ac:dyDescent="0.2">
      <c r="C42" s="45"/>
      <c r="D42" s="46"/>
      <c r="E42" s="46"/>
      <c r="F42" s="46"/>
      <c r="G42" s="47"/>
      <c r="H42" s="51"/>
      <c r="J42" s="15" t="s">
        <v>228</v>
      </c>
      <c r="M42" s="141">
        <f>AG38</f>
        <v>0</v>
      </c>
      <c r="N42" s="4" t="s">
        <v>214</v>
      </c>
      <c r="O42" s="4"/>
      <c r="P42" s="4"/>
      <c r="Q42" s="4"/>
      <c r="R42" s="4"/>
      <c r="S42" s="15"/>
      <c r="T42" s="54"/>
      <c r="U42" s="325">
        <f>(M42*AK50/0.041666667)</f>
        <v>0</v>
      </c>
      <c r="V42" s="19" t="s">
        <v>215</v>
      </c>
      <c r="W42" s="106"/>
      <c r="X42" s="1"/>
      <c r="Y42" s="139">
        <f>AK47</f>
        <v>53.5</v>
      </c>
      <c r="Z42" s="165"/>
      <c r="AB42" s="4">
        <f>COUNTIF(AK7:AK34,"2")</f>
        <v>0</v>
      </c>
      <c r="AE42" s="4" t="e">
        <f>M43*78</f>
        <v>#VALUE!</v>
      </c>
      <c r="AG42" s="16" t="s">
        <v>225</v>
      </c>
      <c r="AH42" s="17">
        <f>(W39*1.2434/1850)*0.009645*AK48</f>
        <v>0</v>
      </c>
      <c r="AI42" s="17"/>
      <c r="AJ42" s="40"/>
      <c r="AK42" s="16"/>
      <c r="AL42" s="17"/>
      <c r="AM42" s="40"/>
      <c r="AP42" s="4"/>
      <c r="AQ42" s="4"/>
      <c r="AR42" s="4"/>
      <c r="AS42" s="4"/>
      <c r="AT42" s="4"/>
      <c r="AU42" s="4"/>
      <c r="AY42" s="4">
        <f>IF((R38="O8")*AND(R39&lt;&gt;""),VLOOKUP(R39,Barema!$AL$39:$AM$68,2),)</f>
        <v>0</v>
      </c>
      <c r="AZ42" s="4" t="s">
        <v>28</v>
      </c>
      <c r="BB42" s="2"/>
    </row>
    <row r="43" spans="1:54" x14ac:dyDescent="0.2">
      <c r="C43" s="48" t="s">
        <v>227</v>
      </c>
      <c r="D43" s="49"/>
      <c r="E43" s="49"/>
      <c r="F43" s="49"/>
      <c r="G43" s="50"/>
      <c r="H43" s="52">
        <f>H38-H41+H39+H40</f>
        <v>36</v>
      </c>
      <c r="J43" s="15" t="str">
        <f>IF(Jan!AH49=2,"Middagmaal","")</f>
        <v/>
      </c>
      <c r="K43" s="4"/>
      <c r="L43" s="1"/>
      <c r="M43" s="65" t="str">
        <f>IF(Jan!AH49=2,COUNTIF(Q7:Q35,"1"),"")</f>
        <v/>
      </c>
      <c r="N43" s="4"/>
      <c r="O43" s="4"/>
      <c r="P43" s="1"/>
      <c r="Q43" s="1"/>
      <c r="R43" s="1"/>
      <c r="S43" s="15"/>
      <c r="T43" s="54"/>
      <c r="U43" s="325" t="str">
        <f>IF(Jan!AH49=2,(M43*AK44*AA38+(R43*AA38*6.2)),"")</f>
        <v/>
      </c>
      <c r="V43" s="19" t="str">
        <f>IF(Jan!AH49=2,"€","")</f>
        <v/>
      </c>
      <c r="W43" s="106"/>
      <c r="X43" s="1"/>
      <c r="Y43" s="1"/>
      <c r="Z43" s="1"/>
      <c r="AA43" s="1"/>
      <c r="AB43" s="4">
        <f>COUNTIF(AK7:AK34,"7")</f>
        <v>0</v>
      </c>
      <c r="AE43" s="4" t="e">
        <f>M44*23</f>
        <v>#VALUE!</v>
      </c>
      <c r="AG43" s="4"/>
      <c r="AH43" s="4"/>
      <c r="AI43" s="4"/>
      <c r="AK43" s="4">
        <v>1.24</v>
      </c>
      <c r="AL43" s="4" t="s">
        <v>226</v>
      </c>
      <c r="AY43" s="17">
        <f>IF((R38="HAU4")*AND(R39&lt;&gt;""),VLOOKUP(R39,Barema!$BJ$39:$BK$65,2),)</f>
        <v>0</v>
      </c>
      <c r="AZ43" s="17" t="s">
        <v>705</v>
      </c>
      <c r="BB43" s="2"/>
    </row>
    <row r="44" spans="1:54" x14ac:dyDescent="0.2">
      <c r="J44" s="15" t="str">
        <f>IF(Jan!AH49=2,"Avondmaal","")</f>
        <v/>
      </c>
      <c r="K44" s="4"/>
      <c r="L44" s="1"/>
      <c r="M44" s="65" t="str">
        <f>IF(Jan!AH49=2,COUNTIF(R7:R34,"1"),"")</f>
        <v/>
      </c>
      <c r="N44" s="4"/>
      <c r="O44" s="4"/>
      <c r="P44" s="1"/>
      <c r="Q44" s="1"/>
      <c r="R44" s="1"/>
      <c r="S44" s="15"/>
      <c r="T44" s="54"/>
      <c r="U44" s="325" t="str">
        <f>IF(Jan!AH49=2,(M44*AK45*AA38+(R44*AA38*6.2)),"")</f>
        <v/>
      </c>
      <c r="V44" s="19" t="str">
        <f>IF(Jan!AH49=2,"€","")</f>
        <v/>
      </c>
      <c r="W44" s="106"/>
      <c r="X44" s="1"/>
      <c r="Y44" s="1"/>
      <c r="Z44" s="1"/>
      <c r="AA44" s="1"/>
      <c r="AB44" s="4" t="s">
        <v>229</v>
      </c>
      <c r="AC44" s="4"/>
      <c r="AD44" s="4"/>
      <c r="AG44" s="4"/>
      <c r="AH44" s="4"/>
      <c r="AI44" s="4"/>
      <c r="AK44" s="4">
        <v>2.48</v>
      </c>
      <c r="AL44" s="4" t="s">
        <v>161</v>
      </c>
      <c r="AY44" s="17">
        <f>IF((R38="BAGP1")*AND(R39&lt;&gt;""),VLOOKUP(R39,Barema!$Q$5:$R$31,2),)</f>
        <v>0</v>
      </c>
      <c r="AZ44" s="17" t="s">
        <v>710</v>
      </c>
      <c r="BB44" s="2"/>
    </row>
    <row r="45" spans="1:54" x14ac:dyDescent="0.2">
      <c r="C45" s="166" t="s">
        <v>230</v>
      </c>
      <c r="F45" s="4"/>
      <c r="G45" s="74" t="s">
        <v>231</v>
      </c>
      <c r="H45" s="74" t="s">
        <v>232</v>
      </c>
      <c r="J45" s="15" t="str">
        <f>IF(Jan!AH49=2,"Nachtmaal","")</f>
        <v/>
      </c>
      <c r="L45" s="103"/>
      <c r="M45" s="65" t="str">
        <f>IF(Jan!AH49=2,COUNTIF(S7:S34,"1"),"")</f>
        <v/>
      </c>
      <c r="N45" s="4"/>
      <c r="O45" s="4"/>
      <c r="P45" s="4"/>
      <c r="Q45" s="4"/>
      <c r="R45" s="19"/>
      <c r="S45" s="4"/>
      <c r="T45" s="80"/>
      <c r="U45" s="325" t="str">
        <f>IF(Jan!AH49=2,(M45*AK46*AA38+(R45*AA38*3.48)),"")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IF((M34-N34-U4)&gt;0,(M34-N34-U4-G53),)</f>
        <v>0</v>
      </c>
      <c r="AC45" s="4">
        <f>IF((MINUTE(AB45)&gt;=30),(0.041666667),)</f>
        <v>0</v>
      </c>
      <c r="AD45" s="4">
        <f>AB45+AC45</f>
        <v>0</v>
      </c>
      <c r="AE45" s="4"/>
      <c r="AG45" s="4"/>
      <c r="AH45" s="4"/>
      <c r="AI45" s="4"/>
      <c r="AK45" s="4">
        <v>2.48</v>
      </c>
      <c r="AL45" s="4" t="s">
        <v>162</v>
      </c>
      <c r="AY45" s="17">
        <f>IF((R38="BAGP2")*AND(R39&lt;&gt;""),VLOOKUP(R39,Barema!$T$5:$U$31,2),)</f>
        <v>0</v>
      </c>
      <c r="AZ45" s="4" t="s">
        <v>711</v>
      </c>
      <c r="BB45" s="2"/>
    </row>
    <row r="46" spans="1:54" x14ac:dyDescent="0.2">
      <c r="C46" s="24" t="s">
        <v>234</v>
      </c>
      <c r="G46" s="92" t="s">
        <v>690</v>
      </c>
      <c r="H46" s="298"/>
      <c r="J46" s="15" t="str">
        <f>IF(Jan!AH49=2,"Morgenmaal","")</f>
        <v/>
      </c>
      <c r="L46" s="103"/>
      <c r="M46" s="65" t="str">
        <f>IF(Jan!AH49=2,COUNTIF(T7:T34,"1"),"")</f>
        <v/>
      </c>
      <c r="N46" s="4"/>
      <c r="O46" s="4"/>
      <c r="P46" s="4"/>
      <c r="Q46" s="4"/>
      <c r="R46" s="19"/>
      <c r="S46" s="4"/>
      <c r="T46" s="80"/>
      <c r="U46" s="325" t="str">
        <f>IF(Jan!AH49=2,(M46*AK43*AA38+(R46*AA38*2.48)),"")</f>
        <v/>
      </c>
      <c r="V46" s="19" t="str">
        <f>IF(Jan!AH49=2,"€","")</f>
        <v/>
      </c>
      <c r="W46" s="106"/>
      <c r="X46" s="1"/>
      <c r="AB46" s="4"/>
      <c r="AC46" s="4"/>
      <c r="AD46" s="4"/>
      <c r="AE46" s="4">
        <f>AD45</f>
        <v>0</v>
      </c>
      <c r="AG46" s="4"/>
      <c r="AH46" s="4"/>
      <c r="AI46" s="4"/>
      <c r="AK46" s="4">
        <v>1.74</v>
      </c>
      <c r="AL46" s="4" t="s">
        <v>233</v>
      </c>
      <c r="AY46" s="17">
        <f>IF((R38="BAGP3")*AND(R39&lt;&gt;""),VLOOKUP(R39,Barema!$W$5:$X$31,2),)</f>
        <v>0</v>
      </c>
      <c r="AZ46" s="4" t="s">
        <v>712</v>
      </c>
      <c r="BB46" s="2"/>
    </row>
    <row r="47" spans="1:54" x14ac:dyDescent="0.2">
      <c r="J47" s="15" t="s">
        <v>238</v>
      </c>
      <c r="K47" s="4"/>
      <c r="L47" s="4"/>
      <c r="M47" s="141">
        <f>IF(AND(G46="x",O34="+",AB45&gt;=0),AB49,0)</f>
        <v>0</v>
      </c>
      <c r="N47" s="4" t="s">
        <v>214</v>
      </c>
      <c r="O47" s="54"/>
      <c r="P47" s="1"/>
      <c r="Q47" s="1"/>
      <c r="R47" s="1"/>
      <c r="S47" s="15"/>
      <c r="T47" s="54"/>
      <c r="U47" s="325">
        <f>(M47*AK41/0.041666667)</f>
        <v>0</v>
      </c>
      <c r="V47" s="19" t="s">
        <v>215</v>
      </c>
      <c r="W47" s="106"/>
      <c r="X47" s="1"/>
      <c r="AB47" s="8">
        <f>HOUR(AD45)*0.041666667</f>
        <v>0</v>
      </c>
      <c r="AD47" s="4"/>
      <c r="AE47" s="4">
        <f>HOUR(AE46)</f>
        <v>0</v>
      </c>
      <c r="AG47" s="4"/>
      <c r="AH47" s="4"/>
      <c r="AI47" s="4"/>
      <c r="AK47" s="4">
        <f>VLOOKUP(AS47,Data!$F$80:$H$91,3)</f>
        <v>53.5</v>
      </c>
      <c r="AL47" s="4" t="s">
        <v>235</v>
      </c>
      <c r="AP47" s="256">
        <f>T39*Z38</f>
        <v>71363.610879999993</v>
      </c>
      <c r="AQ47" s="2">
        <f>AP47*0.075</f>
        <v>5352.2708159999993</v>
      </c>
      <c r="AR47" s="2">
        <f>AP47*0.0355</f>
        <v>2533.4081862399994</v>
      </c>
      <c r="AS47" s="142">
        <f>AP47-AQ47-AR47</f>
        <v>63477.931877759991</v>
      </c>
      <c r="AY47" s="17">
        <f>IF((R38="BAGP4")*AND(R39&lt;&gt;""),VLOOKUP(R39,Barema!$BJ$39:$BK$65,2),)</f>
        <v>0</v>
      </c>
      <c r="AZ47" s="4" t="s">
        <v>713</v>
      </c>
      <c r="BB47" s="2"/>
    </row>
    <row r="48" spans="1:54" x14ac:dyDescent="0.2">
      <c r="C48" s="4" t="s">
        <v>237</v>
      </c>
      <c r="F48" s="4"/>
      <c r="G48" s="4"/>
      <c r="J48" s="15" t="s">
        <v>240</v>
      </c>
      <c r="K48" s="4"/>
      <c r="L48" s="4"/>
      <c r="M48" s="118">
        <f>AM36</f>
        <v>0</v>
      </c>
      <c r="N48" s="4" t="s">
        <v>241</v>
      </c>
      <c r="O48" s="80"/>
      <c r="P48" s="1"/>
      <c r="Q48" s="1"/>
      <c r="R48" s="1"/>
      <c r="S48" s="15"/>
      <c r="T48" s="80"/>
      <c r="U48" s="325">
        <f>AM37</f>
        <v>0</v>
      </c>
      <c r="V48" s="19" t="s">
        <v>215</v>
      </c>
      <c r="W48" s="106"/>
      <c r="X48" s="1"/>
      <c r="AB48" s="4">
        <f>AD45-AB47</f>
        <v>0</v>
      </c>
      <c r="AG48" s="4"/>
      <c r="AH48" s="4"/>
      <c r="AI48" s="4"/>
      <c r="AK48" s="4">
        <f>100-AK47</f>
        <v>46.5</v>
      </c>
      <c r="AL48" s="4" t="s">
        <v>236</v>
      </c>
      <c r="AY48" s="17">
        <f>IF((R38="BASP1")*AND(R39&lt;&gt;""),VLOOKUP(R39,Barema!$BM$39:$BN$69,2),)</f>
        <v>0</v>
      </c>
      <c r="AZ48" s="4" t="s">
        <v>706</v>
      </c>
      <c r="BB48" s="2"/>
    </row>
    <row r="49" spans="3:54" x14ac:dyDescent="0.2">
      <c r="C49" s="4" t="s">
        <v>239</v>
      </c>
      <c r="F49" s="4"/>
      <c r="G49" s="133">
        <v>0</v>
      </c>
      <c r="J49" s="15" t="s">
        <v>244</v>
      </c>
      <c r="K49" s="1"/>
      <c r="L49" s="4"/>
      <c r="M49" s="65">
        <f>SUM(X7:X34)</f>
        <v>0</v>
      </c>
      <c r="N49" s="4" t="s">
        <v>245</v>
      </c>
      <c r="O49" s="4"/>
      <c r="P49" s="4"/>
      <c r="Q49" s="4"/>
      <c r="R49" s="4"/>
      <c r="S49" s="15"/>
      <c r="T49" s="120"/>
      <c r="U49" s="325">
        <f>(M49*Data!$S$13)</f>
        <v>0</v>
      </c>
      <c r="V49" s="19" t="s">
        <v>215</v>
      </c>
      <c r="W49" s="106"/>
      <c r="X49" s="1"/>
      <c r="AB49" s="4">
        <f>IF(MINUTE(AB45)&gt;0,FLOOR(AE46,0.041666667),AE46)</f>
        <v>0</v>
      </c>
      <c r="AG49" s="4" t="s">
        <v>153</v>
      </c>
      <c r="AH49" s="4">
        <f>AH40*0.00325*0.9645*AK48</f>
        <v>0</v>
      </c>
      <c r="AI49" s="4"/>
      <c r="AK49" s="62">
        <f>AK41/100*20</f>
        <v>3.4601128921727997</v>
      </c>
      <c r="AL49" s="4" t="s">
        <v>242</v>
      </c>
      <c r="AY49" s="17">
        <f>IF((R38="BASP2")*AND(R39&lt;&gt;""),VLOOKUP(R39,Barema!$BP$39:$BQ$69,2),)</f>
        <v>0</v>
      </c>
      <c r="AZ49" s="4" t="s">
        <v>707</v>
      </c>
      <c r="BB49" s="2"/>
    </row>
    <row r="50" spans="3:54" x14ac:dyDescent="0.2">
      <c r="C50" s="166" t="s">
        <v>243</v>
      </c>
      <c r="J50" s="15" t="s">
        <v>247</v>
      </c>
      <c r="K50" s="4"/>
      <c r="L50" s="4"/>
      <c r="M50" s="141">
        <f>AH52</f>
        <v>0</v>
      </c>
      <c r="N50" s="4" t="s">
        <v>214</v>
      </c>
      <c r="O50" s="4"/>
      <c r="P50" s="4"/>
      <c r="Q50" s="4"/>
      <c r="R50" s="4"/>
      <c r="S50" s="15"/>
      <c r="T50" s="80"/>
      <c r="U50" s="325">
        <f>(M50*AK52/0.041666667)</f>
        <v>0</v>
      </c>
      <c r="V50" s="19" t="s">
        <v>215</v>
      </c>
      <c r="W50" s="106"/>
      <c r="X50" s="1"/>
      <c r="AK50" s="62">
        <f>AK41/100*35</f>
        <v>6.0551975613023998</v>
      </c>
      <c r="AL50" s="4" t="s">
        <v>246</v>
      </c>
      <c r="AY50" s="17">
        <f>IF((R38="BASP3")*AND(R39&lt;&gt;""),VLOOKUP(R39,Barema!$BS$39:$BT$69,2),)</f>
        <v>0</v>
      </c>
      <c r="AZ50" s="4" t="s">
        <v>708</v>
      </c>
      <c r="BB50" s="2"/>
    </row>
    <row r="51" spans="3:54" x14ac:dyDescent="0.2">
      <c r="J51" s="15" t="s">
        <v>249</v>
      </c>
      <c r="K51" s="4"/>
      <c r="L51" s="4"/>
      <c r="M51" s="141">
        <f>AH53</f>
        <v>0</v>
      </c>
      <c r="N51" s="4" t="s">
        <v>214</v>
      </c>
      <c r="O51" s="4"/>
      <c r="P51" s="4"/>
      <c r="Q51" s="4"/>
      <c r="R51" s="4"/>
      <c r="S51" s="15"/>
      <c r="T51" s="80"/>
      <c r="U51" s="325">
        <f>(M51*AK53/0.041666667)</f>
        <v>0</v>
      </c>
      <c r="V51" s="19" t="s">
        <v>215</v>
      </c>
      <c r="W51" s="106"/>
      <c r="X51" s="1"/>
      <c r="AK51" s="142"/>
      <c r="AY51" s="17">
        <f>IF((R38="BASP4")*AND(R39&lt;&gt;""),VLOOKUP(R39,Barema!$BV$39:$BW$69,2),)</f>
        <v>0</v>
      </c>
      <c r="AZ51" s="4" t="s">
        <v>709</v>
      </c>
      <c r="BB51" s="2"/>
    </row>
    <row r="52" spans="3:54" x14ac:dyDescent="0.2">
      <c r="C52" s="24" t="s">
        <v>248</v>
      </c>
      <c r="F52" s="4"/>
      <c r="G52" s="4"/>
      <c r="H52" s="4"/>
      <c r="J52" s="16" t="s">
        <v>250</v>
      </c>
      <c r="K52" s="17"/>
      <c r="L52" s="17"/>
      <c r="M52" s="203">
        <f>AU36</f>
        <v>0</v>
      </c>
      <c r="N52" s="17" t="s">
        <v>241</v>
      </c>
      <c r="O52" s="17"/>
      <c r="P52" s="17"/>
      <c r="Q52" s="17"/>
      <c r="R52" s="17"/>
      <c r="S52" s="16"/>
      <c r="T52" s="17"/>
      <c r="U52" s="326">
        <f>(M52*(2.81*AA38))/100*(100-Y42)</f>
        <v>0</v>
      </c>
      <c r="V52" s="20" t="s">
        <v>215</v>
      </c>
      <c r="W52" s="106"/>
      <c r="X52" s="1"/>
      <c r="AE52" s="199">
        <f>SUM(Y7:Y34)</f>
        <v>0</v>
      </c>
      <c r="AF52" s="10">
        <f>IF(MINUTE(AE52)&gt;=30,AE52+0.041666667,AE52)</f>
        <v>0</v>
      </c>
      <c r="AG52" s="10"/>
      <c r="AH52" s="10">
        <f>IF(MINUTE(AF52)&gt;0,FLOOR(AF52,0.041666667),AF52)</f>
        <v>0</v>
      </c>
      <c r="AI52" s="10"/>
      <c r="AJ52" s="10"/>
      <c r="AK52" s="130">
        <f>AK41/24</f>
        <v>0.72085685253599996</v>
      </c>
      <c r="AL52" s="10" t="s">
        <v>247</v>
      </c>
      <c r="AM52" s="10"/>
      <c r="AN52" s="10"/>
      <c r="AO52" s="10"/>
      <c r="AP52" s="86"/>
      <c r="BB52" s="2"/>
    </row>
    <row r="53" spans="3:54" x14ac:dyDescent="0.2">
      <c r="C53" s="24" t="s">
        <v>239</v>
      </c>
      <c r="F53" s="4"/>
      <c r="G53" s="121">
        <v>0</v>
      </c>
      <c r="H53" s="4"/>
      <c r="L53" s="70" t="s">
        <v>130</v>
      </c>
      <c r="M53" s="70"/>
      <c r="N53" s="16"/>
      <c r="O53" s="71"/>
      <c r="P53" s="64"/>
      <c r="Q53" s="64"/>
      <c r="R53" s="64"/>
      <c r="S53" s="16"/>
      <c r="T53" s="72"/>
      <c r="U53" s="326">
        <f>SUM(U40:U52)</f>
        <v>0</v>
      </c>
      <c r="V53" s="20" t="s">
        <v>215</v>
      </c>
      <c r="W53" s="106"/>
      <c r="X53" s="1"/>
      <c r="AE53" s="200">
        <f>SUM(Z7:Z34)</f>
        <v>0</v>
      </c>
      <c r="AF53" s="17">
        <f>IF(MINUTE(AE53)&gt;=30,AE53+0.041666667,AE53)</f>
        <v>0</v>
      </c>
      <c r="AG53" s="17"/>
      <c r="AH53" s="17">
        <f>IF(MINUTE(AF53)&gt;0,FLOOR(AF53,0.041666667),AF53)</f>
        <v>0</v>
      </c>
      <c r="AI53" s="17"/>
      <c r="AJ53" s="17"/>
      <c r="AK53" s="131">
        <f>AK41/15</f>
        <v>1.1533709640576</v>
      </c>
      <c r="AL53" s="17" t="s">
        <v>251</v>
      </c>
      <c r="AM53" s="17"/>
      <c r="AN53" s="17"/>
      <c r="AO53" s="17"/>
      <c r="AP53" s="83"/>
      <c r="BB53" s="2"/>
    </row>
    <row r="54" spans="3:54" x14ac:dyDescent="0.2">
      <c r="C54" s="166" t="s">
        <v>243</v>
      </c>
      <c r="E54" s="4"/>
      <c r="F54" s="1"/>
      <c r="G54" s="4"/>
      <c r="H54" s="4"/>
      <c r="W54" s="106"/>
      <c r="X54" s="1"/>
      <c r="BB54" s="2"/>
    </row>
    <row r="55" spans="3:54" x14ac:dyDescent="0.2">
      <c r="AY55" s="4">
        <f>SUM(AY7:AY53)</f>
        <v>33625.599999999999</v>
      </c>
    </row>
    <row r="59" spans="3:54" x14ac:dyDescent="0.2">
      <c r="E59" s="4"/>
      <c r="F59" s="1"/>
      <c r="G59" s="4"/>
      <c r="H59" s="4"/>
      <c r="I59" s="4"/>
      <c r="J59" s="4"/>
      <c r="K59" s="4"/>
      <c r="L59" s="70"/>
      <c r="M59" s="70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s5Zmgadkv67OXBdFkMBRMpVB/sLyyDebun/sklFfnlKLR9ROTbsgf9T5wd36Y2J3r/OriQzy9NFREUBg9xn2Rw==" saltValue="MCAHXNh6K2IXYy82W7MsNA==" spinCount="100000" sheet="1" objects="1" scenarios="1"/>
  <mergeCells count="2">
    <mergeCell ref="R38:S38"/>
    <mergeCell ref="R39:S39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orientation="landscape" horizontalDpi="300" verticalDpi="300" r:id="rId1"/>
  <headerFooter alignWithMargins="0"/>
  <ignoredErrors>
    <ignoredError sqref="Q7:T34" unlockedFormula="1"/>
    <ignoredError xmlns:x16r3="http://schemas.microsoft.com/office/spreadsheetml/2018/08/main" sqref="M50:M51" x16r3:misleadingForma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>
    <pageSetUpPr fitToPage="1"/>
  </sheetPr>
  <dimension ref="A1:XFC62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8" sqref="F8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57031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3.7109375" style="2" hidden="1" customWidth="1"/>
    <col min="29" max="29" width="5.28515625" style="2" hidden="1" customWidth="1"/>
    <col min="30" max="30" width="12" style="2" hidden="1" customWidth="1"/>
    <col min="31" max="31" width="5.140625" style="2" hidden="1" customWidth="1"/>
    <col min="32" max="32" width="10.42578125" style="2" hidden="1" customWidth="1"/>
    <col min="33" max="33" width="5.140625" style="2" hidden="1" customWidth="1"/>
    <col min="34" max="34" width="10.42578125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98"/>
      <c r="O3" s="98"/>
      <c r="P3" s="98"/>
      <c r="Q3" s="98"/>
      <c r="R3" s="98"/>
      <c r="S3" s="98"/>
      <c r="T3" s="98"/>
      <c r="U3" s="99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361" t="str">
        <f>Data!E6</f>
        <v>Uurzakboekje 2026</v>
      </c>
      <c r="I4" s="4" t="s">
        <v>110</v>
      </c>
      <c r="M4" s="259">
        <f>Feb!$G$53</f>
        <v>0</v>
      </c>
      <c r="P4" s="4" t="s">
        <v>111</v>
      </c>
      <c r="Q4" s="4"/>
      <c r="R4" s="4"/>
      <c r="S4" s="4"/>
      <c r="T4" s="4"/>
      <c r="U4" s="122">
        <f>IF(Feb!$H$46="x",Feb!$U$4,Feb!$G$49)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81"/>
      <c r="C5" s="343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5" t="s">
        <v>44</v>
      </c>
      <c r="G6" s="355" t="s">
        <v>139</v>
      </c>
      <c r="H6" s="355" t="s">
        <v>44</v>
      </c>
      <c r="I6" s="355" t="s">
        <v>139</v>
      </c>
      <c r="J6" s="355" t="s">
        <v>44</v>
      </c>
      <c r="K6" s="355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6" customFormat="1" x14ac:dyDescent="0.2">
      <c r="A7" s="374"/>
      <c r="B7" s="362" t="s">
        <v>173</v>
      </c>
      <c r="C7" s="363" t="s">
        <v>282</v>
      </c>
      <c r="D7" s="364"/>
      <c r="E7" s="364"/>
      <c r="F7" s="365"/>
      <c r="G7" s="365"/>
      <c r="H7" s="365"/>
      <c r="I7" s="365"/>
      <c r="J7" s="365"/>
      <c r="K7" s="365"/>
      <c r="L7" s="366">
        <f>(G7-F7)+(I7-H7)+(K7-J7)</f>
        <v>0</v>
      </c>
      <c r="M7" s="366">
        <f>IF(Feb!$H$46="x",(L7+Feb!$M$34)+M4,L7+M4)</f>
        <v>0</v>
      </c>
      <c r="N7" s="366">
        <f>IF(Feb!$H$46="x",AU7+Feb!$N$34,AU7)</f>
        <v>0</v>
      </c>
      <c r="O7" s="377" t="str">
        <f>IF((M7-N7-U$4)&lt;0,"-","+")</f>
        <v>+</v>
      </c>
      <c r="P7" s="367">
        <f>ABS(M7-N7-U$4)</f>
        <v>0</v>
      </c>
      <c r="Q7" s="364">
        <f t="shared" ref="Q7:Q37" si="0">AP7</f>
        <v>0</v>
      </c>
      <c r="R7" s="364">
        <f t="shared" ref="R7:R37" si="1">AQ7</f>
        <v>0</v>
      </c>
      <c r="S7" s="364">
        <f t="shared" ref="S7:S37" si="2">AR7</f>
        <v>0</v>
      </c>
      <c r="T7" s="364">
        <f t="shared" ref="T7:T37" si="3">AO7</f>
        <v>0</v>
      </c>
      <c r="U7" s="366">
        <f>L7</f>
        <v>0</v>
      </c>
      <c r="V7" s="366">
        <f>AE7</f>
        <v>0</v>
      </c>
      <c r="W7" s="366">
        <f>AF7</f>
        <v>0</v>
      </c>
      <c r="X7" s="364"/>
      <c r="Y7" s="365"/>
      <c r="Z7" s="365"/>
      <c r="AA7" s="368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68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68">
        <f>AA7+AB7</f>
        <v>0</v>
      </c>
      <c r="AD7" s="368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69">
        <f>AA7-AD7</f>
        <v>0</v>
      </c>
      <c r="AF7" s="368">
        <f>AH7+AD7</f>
        <v>0</v>
      </c>
      <c r="AG7" s="369">
        <f>AC7</f>
        <v>0</v>
      </c>
      <c r="AH7" s="368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70">
        <f>IF((D7&lt;&gt;""),VLOOKUP(D7,Data!$E$36:$H$53,4),)</f>
        <v>0</v>
      </c>
      <c r="AJ7" s="370">
        <f t="shared" ref="AJ7:AJ37" si="8">IF(U7&gt;0,L7,0)</f>
        <v>0</v>
      </c>
      <c r="AK7" s="371">
        <f t="shared" ref="AK7:AK37" si="9">IF(L7&gt;0,D7,0)</f>
        <v>0</v>
      </c>
      <c r="AL7" s="371">
        <f t="shared" ref="AL7:AL37" si="10">IF((E7="X")*OR(E7="x"),1,0)</f>
        <v>0</v>
      </c>
      <c r="AM7" s="372">
        <f t="shared" ref="AM7:AM37" si="11">IF(D7="F",1,)+IF((D7="VB")*AND(((G7-F7)+(I7-H7)+(K7-J7))&gt;0),1,0)</f>
        <v>0</v>
      </c>
      <c r="AN7" s="370">
        <f t="shared" ref="AN7:AN37" si="12">IF((D7="VB")*AND(((G7-F7)+(I7-H7)+(K7-J7))=0),"07:36",0)</f>
        <v>0</v>
      </c>
      <c r="AO7" s="373">
        <f t="shared" ref="AO7:AO37" si="13">IF((F7&lt;=$AQ$2)*AND(G7&gt;=$AQ$3),1,)+IF((H7&lt;=$AQ$2)*AND(I7&gt;=$AQ$3),1,)+IF((J7&lt;=$AQ$2)*AND(K7&gt;=$AQ$3),1,)</f>
        <v>0</v>
      </c>
      <c r="AP7" s="373">
        <f t="shared" ref="AP7:AP37" si="14">IF((F7&lt;=$AR$2)*AND(G7&gt;=$AR$3),1,)+IF((H7&lt;=$AR$2)*AND(I7&gt;=$AR$3),1,)+IF((J7&lt;=$AR$2)*AND(K7&gt;=$AR$3),1,)</f>
        <v>0</v>
      </c>
      <c r="AQ7" s="373">
        <f t="shared" ref="AQ7:AQ37" si="15">IF((F7&lt;=$AS$2)*AND(G7&gt;=$AS$3),1,)+IF((H7&lt;=$AS$2)*AND(I7&gt;=$AS$3),1,)+IF((J7&lt;=$AS$2)*AND(K7&gt;=$AS$3),1,)</f>
        <v>0</v>
      </c>
      <c r="AR7" s="373">
        <f t="shared" ref="AR7:AR37" si="16">IF((F7=$AT$2)*AND(G7&gt;=$AT$3),1,)+IF((H7=$AT$2)*AND(I7&gt;=$AT$3),1,)+IF((J7=$AT$2)*AND(K7&gt;=$AT$3),1,)</f>
        <v>0</v>
      </c>
      <c r="AS7" s="371">
        <f t="shared" ref="AS7:AS37" si="17">IF((E7="MO")*OR(E7="mo"),1,0)</f>
        <v>0</v>
      </c>
      <c r="AT7" s="371">
        <f t="shared" ref="AT7:AT37" si="18">IF((E7="M")*OR(E7="m"),1,0)</f>
        <v>0</v>
      </c>
      <c r="AU7" s="366">
        <f>IF(Data!$H$8="x",AV7,AW7)</f>
        <v>0</v>
      </c>
      <c r="AV7" s="366">
        <f t="shared" ref="AV7:AV37" si="19">AW7/2</f>
        <v>0</v>
      </c>
      <c r="AW7" s="366">
        <f>AX4</f>
        <v>0</v>
      </c>
      <c r="AX7" s="362" t="str">
        <f t="shared" ref="AX7:AX37" si="20">B7</f>
        <v>Zo</v>
      </c>
      <c r="AY7" s="371">
        <f>IF((R40="HAU1")*AND(R41&lt;&gt;""),VLOOKUP(R41,Barema!$Q$5:$R$31,2),)</f>
        <v>0</v>
      </c>
      <c r="AZ7" s="371" t="s">
        <v>0</v>
      </c>
      <c r="BA7" s="439"/>
    </row>
    <row r="8" spans="1:54" s="378" customFormat="1" x14ac:dyDescent="0.2">
      <c r="A8" s="309"/>
      <c r="B8" s="6" t="s">
        <v>175</v>
      </c>
      <c r="C8" s="311" t="s">
        <v>283</v>
      </c>
      <c r="D8" s="312"/>
      <c r="E8" s="312"/>
      <c r="F8" s="274"/>
      <c r="G8" s="274"/>
      <c r="H8" s="310"/>
      <c r="I8" s="310"/>
      <c r="J8" s="310"/>
      <c r="K8" s="310"/>
      <c r="L8" s="313">
        <f>(G8-F8)+(I8-H8)+(K8-J8)+AI8+AN8</f>
        <v>0</v>
      </c>
      <c r="M8" s="313">
        <f t="shared" ref="M8:M37" si="21">M7+L8</f>
        <v>0</v>
      </c>
      <c r="N8" s="313">
        <f>IF(Feb!$H$46="x",AU8+Feb!$N$34,AU8)</f>
        <v>0.31666666666666665</v>
      </c>
      <c r="O8" s="337" t="str">
        <f t="shared" ref="O8:O37" si="22">IF((M8-N8-U$4)&lt;0,"-","+")</f>
        <v>-</v>
      </c>
      <c r="P8" s="314">
        <f t="shared" ref="P8:P37" si="23">ABS(M8-N8-U$4)</f>
        <v>0.31666666666666665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 cm="1">
        <f t="array" ref="U8">IF(D8="F",L=9,0)</f>
        <v>0</v>
      </c>
      <c r="V8" s="313">
        <f t="shared" ref="V8:V37" si="24">AE8</f>
        <v>0</v>
      </c>
      <c r="W8" s="313">
        <f t="shared" ref="W8:W37" si="25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0.31666666666666665</v>
      </c>
      <c r="AV8" s="313">
        <f t="shared" si="19"/>
        <v>0.15833333333333333</v>
      </c>
      <c r="AW8" s="313">
        <f t="shared" ref="AW8:AW12" si="26">IF(D8="V",AW7,(AW7+"07:36"))</f>
        <v>0.31666666666666665</v>
      </c>
      <c r="AX8" s="6" t="str">
        <f t="shared" si="20"/>
        <v>Ma</v>
      </c>
      <c r="AY8" s="4">
        <f>IF((R40="HAU2")*AND(R41&lt;&gt;""),VLOOKUP(R41,Barema!$T$5:$U$31,2),)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177</v>
      </c>
      <c r="C9" s="311" t="s">
        <v>284</v>
      </c>
      <c r="D9" s="312"/>
      <c r="E9" s="312"/>
      <c r="F9" s="274"/>
      <c r="G9" s="274"/>
      <c r="H9" s="310"/>
      <c r="I9" s="310"/>
      <c r="J9" s="310"/>
      <c r="K9" s="310"/>
      <c r="L9" s="313">
        <f>(G9-F9)+(I9-H9)+(K9-J9)+AI9+AN9</f>
        <v>0</v>
      </c>
      <c r="M9" s="313">
        <f t="shared" si="21"/>
        <v>0</v>
      </c>
      <c r="N9" s="313">
        <f>IF(Feb!$H$46="x",AU9+Feb!$N$34,AU9)</f>
        <v>0.6333333333333333</v>
      </c>
      <c r="O9" s="337" t="str">
        <f t="shared" si="22"/>
        <v>-</v>
      </c>
      <c r="P9" s="314">
        <f t="shared" si="23"/>
        <v>0.6333333333333333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 cm="1">
        <f t="array" ref="U9">IF(D9="F",L=9,0)</f>
        <v>0</v>
      </c>
      <c r="V9" s="313">
        <f t="shared" si="24"/>
        <v>0</v>
      </c>
      <c r="W9" s="313">
        <f t="shared" si="25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7" si="27">AA9+AB9</f>
        <v>0</v>
      </c>
      <c r="AD9" s="315">
        <f t="shared" si="6"/>
        <v>0</v>
      </c>
      <c r="AE9" s="316">
        <f t="shared" ref="AE9:AE37" si="28">AA9-AD9</f>
        <v>0</v>
      </c>
      <c r="AF9" s="315">
        <f t="shared" ref="AF9:AF37" si="29">AH9+AD9</f>
        <v>0</v>
      </c>
      <c r="AG9" s="316">
        <f t="shared" ref="AG9:AG37" si="30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0.6333333333333333</v>
      </c>
      <c r="AV9" s="313">
        <f t="shared" si="19"/>
        <v>0.31666666666666665</v>
      </c>
      <c r="AW9" s="313">
        <f t="shared" si="26"/>
        <v>0.6333333333333333</v>
      </c>
      <c r="AX9" s="6" t="str">
        <f t="shared" si="20"/>
        <v>Di</v>
      </c>
      <c r="AY9" s="4">
        <f>IF((R40="HAU3")*AND(R41&lt;&gt;""),VLOOKUP(R41,Barema!$W$5:$X$31,2),)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179</v>
      </c>
      <c r="C10" s="311" t="s">
        <v>285</v>
      </c>
      <c r="D10" s="312"/>
      <c r="E10" s="312"/>
      <c r="F10" s="274"/>
      <c r="G10" s="274"/>
      <c r="H10" s="310"/>
      <c r="I10" s="310"/>
      <c r="J10" s="310"/>
      <c r="K10" s="310"/>
      <c r="L10" s="313">
        <f>(G10-F10)+(I10-H10)+(K10-J10)+AI10+AN10</f>
        <v>0</v>
      </c>
      <c r="M10" s="313">
        <f>M9+L10</f>
        <v>0</v>
      </c>
      <c r="N10" s="313">
        <f>IF(Feb!$H$46="x",AU10+Feb!$N$34,AU10)</f>
        <v>0.95</v>
      </c>
      <c r="O10" s="337" t="str">
        <f t="shared" si="22"/>
        <v>-</v>
      </c>
      <c r="P10" s="314">
        <f t="shared" si="23"/>
        <v>0.95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 cm="1">
        <f t="array" ref="U10">IF(D10="F",L=10,0)</f>
        <v>0</v>
      </c>
      <c r="V10" s="313">
        <f t="shared" si="24"/>
        <v>0</v>
      </c>
      <c r="W10" s="313">
        <f t="shared" si="25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7"/>
        <v>0</v>
      </c>
      <c r="AD10" s="315">
        <f t="shared" si="6"/>
        <v>0</v>
      </c>
      <c r="AE10" s="316">
        <f t="shared" si="28"/>
        <v>0</v>
      </c>
      <c r="AF10" s="315">
        <f t="shared" si="29"/>
        <v>0</v>
      </c>
      <c r="AG10" s="316">
        <f t="shared" si="30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0.95</v>
      </c>
      <c r="AV10" s="313">
        <f t="shared" si="19"/>
        <v>0.47499999999999998</v>
      </c>
      <c r="AW10" s="313">
        <f t="shared" si="26"/>
        <v>0.95</v>
      </c>
      <c r="AX10" s="6" t="str">
        <f t="shared" si="20"/>
        <v>Wo</v>
      </c>
      <c r="AY10" s="4">
        <f>IF((R40="B1")*AND(R41&lt;&gt;""),VLOOKUP(R41,Barema!$Z$5:$AA$31,2),)</f>
        <v>0</v>
      </c>
      <c r="AZ10" s="4" t="s">
        <v>3</v>
      </c>
      <c r="BA10" s="102"/>
    </row>
    <row r="11" spans="1:54" s="378" customFormat="1" x14ac:dyDescent="0.2">
      <c r="A11" s="309"/>
      <c r="B11" s="6" t="s">
        <v>167</v>
      </c>
      <c r="C11" s="311" t="s">
        <v>286</v>
      </c>
      <c r="D11" s="312"/>
      <c r="E11" s="312"/>
      <c r="F11" s="274"/>
      <c r="G11" s="274"/>
      <c r="H11" s="310"/>
      <c r="I11" s="310"/>
      <c r="J11" s="310"/>
      <c r="K11" s="310"/>
      <c r="L11" s="313">
        <f>(G11-F11)+(I11-H11)+(K11-J11)+AI11+AN11</f>
        <v>0</v>
      </c>
      <c r="M11" s="313">
        <f>M10+L11</f>
        <v>0</v>
      </c>
      <c r="N11" s="313">
        <f>IF(Feb!$H$46="x",AU11+Feb!$N$34,AU11)</f>
        <v>1.2666666666666666</v>
      </c>
      <c r="O11" s="337" t="str">
        <f t="shared" si="22"/>
        <v>-</v>
      </c>
      <c r="P11" s="314">
        <f t="shared" si="23"/>
        <v>1.2666666666666666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 cm="1">
        <f t="array" ref="U11">IF(D11="F",L=11,0)</f>
        <v>0</v>
      </c>
      <c r="V11" s="313">
        <f t="shared" si="24"/>
        <v>0</v>
      </c>
      <c r="W11" s="313">
        <f t="shared" si="25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7"/>
        <v>0</v>
      </c>
      <c r="AD11" s="315">
        <f t="shared" si="6"/>
        <v>0</v>
      </c>
      <c r="AE11" s="316">
        <f t="shared" si="28"/>
        <v>0</v>
      </c>
      <c r="AF11" s="315">
        <f t="shared" si="29"/>
        <v>0</v>
      </c>
      <c r="AG11" s="316">
        <f t="shared" si="30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1.2666666666666666</v>
      </c>
      <c r="AV11" s="313">
        <f t="shared" si="19"/>
        <v>0.6333333333333333</v>
      </c>
      <c r="AW11" s="313">
        <f t="shared" si="26"/>
        <v>1.2666666666666666</v>
      </c>
      <c r="AX11" s="6" t="str">
        <f t="shared" si="20"/>
        <v>Do</v>
      </c>
      <c r="AY11" s="4">
        <f>IF((R40="B2")*AND(R41&lt;&gt;""),VLOOKUP(R41,Barema!$AC$5:$AD$31,2),)</f>
        <v>0</v>
      </c>
      <c r="AZ11" s="4" t="s">
        <v>4</v>
      </c>
      <c r="BA11" s="102"/>
    </row>
    <row r="12" spans="1:54" s="378" customFormat="1" x14ac:dyDescent="0.2">
      <c r="A12" s="309"/>
      <c r="B12" s="6" t="s">
        <v>169</v>
      </c>
      <c r="C12" s="311" t="s">
        <v>287</v>
      </c>
      <c r="D12" s="312"/>
      <c r="E12" s="312"/>
      <c r="F12" s="274"/>
      <c r="G12" s="274"/>
      <c r="H12" s="310"/>
      <c r="I12" s="310"/>
      <c r="J12" s="310"/>
      <c r="K12" s="310"/>
      <c r="L12" s="313">
        <f>(G12-F12)+(I12-H12)+(K12-J12)+AI12+AN12</f>
        <v>0</v>
      </c>
      <c r="M12" s="313">
        <f t="shared" si="21"/>
        <v>0</v>
      </c>
      <c r="N12" s="313">
        <f>IF(Feb!$H$46="x",AU12+Feb!$N$34,AU12)</f>
        <v>1.5833333333333333</v>
      </c>
      <c r="O12" s="337" t="str">
        <f t="shared" si="22"/>
        <v>-</v>
      </c>
      <c r="P12" s="314">
        <f t="shared" si="23"/>
        <v>1.5833333333333333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 cm="1">
        <f t="array" ref="U12">IF(D12="F",L=12,0)</f>
        <v>0</v>
      </c>
      <c r="V12" s="313">
        <f t="shared" si="24"/>
        <v>0</v>
      </c>
      <c r="W12" s="313">
        <f t="shared" si="25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7"/>
        <v>0</v>
      </c>
      <c r="AD12" s="315">
        <f t="shared" si="6"/>
        <v>0</v>
      </c>
      <c r="AE12" s="316">
        <f t="shared" si="28"/>
        <v>0</v>
      </c>
      <c r="AF12" s="315">
        <f t="shared" si="29"/>
        <v>0</v>
      </c>
      <c r="AG12" s="316">
        <f t="shared" si="30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1.5833333333333333</v>
      </c>
      <c r="AV12" s="313">
        <f t="shared" si="19"/>
        <v>0.79166666666666663</v>
      </c>
      <c r="AW12" s="313">
        <f t="shared" si="26"/>
        <v>1.5833333333333333</v>
      </c>
      <c r="AX12" s="6" t="str">
        <f t="shared" si="20"/>
        <v>Vr</v>
      </c>
      <c r="AY12" s="4">
        <f>IF((R40="B3")*AND(R41&lt;&gt;""),VLOOKUP(R41,Barema!$AF$5:$AG$31,2),)</f>
        <v>0</v>
      </c>
      <c r="AZ12" s="4" t="s">
        <v>5</v>
      </c>
      <c r="BA12" s="102"/>
    </row>
    <row r="13" spans="1:54" s="376" customFormat="1" x14ac:dyDescent="0.2">
      <c r="A13" s="374"/>
      <c r="B13" s="362" t="s">
        <v>171</v>
      </c>
      <c r="C13" s="363" t="s">
        <v>288</v>
      </c>
      <c r="D13" s="364"/>
      <c r="E13" s="364"/>
      <c r="F13" s="365"/>
      <c r="G13" s="365"/>
      <c r="H13" s="365"/>
      <c r="I13" s="365"/>
      <c r="J13" s="365"/>
      <c r="K13" s="365"/>
      <c r="L13" s="366">
        <f>(G13-F13)+(I13-H13)+(K13-J13)</f>
        <v>0</v>
      </c>
      <c r="M13" s="366">
        <f t="shared" si="21"/>
        <v>0</v>
      </c>
      <c r="N13" s="366">
        <f>IF(Feb!$H$46="x",AU13+Feb!$N$34,AU13)</f>
        <v>1.5833333333333333</v>
      </c>
      <c r="O13" s="377" t="str">
        <f t="shared" si="22"/>
        <v>-</v>
      </c>
      <c r="P13" s="367">
        <f t="shared" si="23"/>
        <v>1.5833333333333333</v>
      </c>
      <c r="Q13" s="364">
        <f t="shared" si="0"/>
        <v>0</v>
      </c>
      <c r="R13" s="364">
        <f t="shared" si="1"/>
        <v>0</v>
      </c>
      <c r="S13" s="364">
        <f t="shared" si="2"/>
        <v>0</v>
      </c>
      <c r="T13" s="364">
        <f t="shared" si="3"/>
        <v>0</v>
      </c>
      <c r="U13" s="366">
        <f>L13</f>
        <v>0</v>
      </c>
      <c r="V13" s="366">
        <f t="shared" si="24"/>
        <v>0</v>
      </c>
      <c r="W13" s="366">
        <f t="shared" si="25"/>
        <v>0</v>
      </c>
      <c r="X13" s="364"/>
      <c r="Y13" s="365"/>
      <c r="Z13" s="365"/>
      <c r="AA13" s="368">
        <f t="shared" si="4"/>
        <v>0</v>
      </c>
      <c r="AB13" s="368">
        <f t="shared" si="5"/>
        <v>0</v>
      </c>
      <c r="AC13" s="368">
        <f t="shared" si="27"/>
        <v>0</v>
      </c>
      <c r="AD13" s="368">
        <f t="shared" si="6"/>
        <v>0</v>
      </c>
      <c r="AE13" s="369">
        <f t="shared" si="28"/>
        <v>0</v>
      </c>
      <c r="AF13" s="368">
        <f t="shared" si="29"/>
        <v>0</v>
      </c>
      <c r="AG13" s="369">
        <f t="shared" si="30"/>
        <v>0</v>
      </c>
      <c r="AH13" s="368">
        <f t="shared" si="7"/>
        <v>0</v>
      </c>
      <c r="AI13" s="370">
        <f>IF((D13&lt;&gt;""),VLOOKUP(D13,Data!$E$36:$H$53,4),)</f>
        <v>0</v>
      </c>
      <c r="AJ13" s="370">
        <f t="shared" si="8"/>
        <v>0</v>
      </c>
      <c r="AK13" s="371">
        <f t="shared" si="9"/>
        <v>0</v>
      </c>
      <c r="AL13" s="371">
        <f t="shared" si="10"/>
        <v>0</v>
      </c>
      <c r="AM13" s="372">
        <f t="shared" si="11"/>
        <v>0</v>
      </c>
      <c r="AN13" s="370">
        <f t="shared" si="12"/>
        <v>0</v>
      </c>
      <c r="AO13" s="373">
        <f t="shared" si="13"/>
        <v>0</v>
      </c>
      <c r="AP13" s="373">
        <f t="shared" si="14"/>
        <v>0</v>
      </c>
      <c r="AQ13" s="373">
        <f t="shared" si="15"/>
        <v>0</v>
      </c>
      <c r="AR13" s="373">
        <f t="shared" si="16"/>
        <v>0</v>
      </c>
      <c r="AS13" s="371">
        <f t="shared" si="17"/>
        <v>0</v>
      </c>
      <c r="AT13" s="371">
        <f t="shared" si="18"/>
        <v>0</v>
      </c>
      <c r="AU13" s="366">
        <f>IF(Data!$H$8="x",AV13,AW13)</f>
        <v>1.5833333333333333</v>
      </c>
      <c r="AV13" s="366">
        <f t="shared" si="19"/>
        <v>0.79166666666666663</v>
      </c>
      <c r="AW13" s="366">
        <f>AW12</f>
        <v>1.5833333333333333</v>
      </c>
      <c r="AX13" s="362" t="str">
        <f t="shared" si="20"/>
        <v>Za</v>
      </c>
      <c r="AY13" s="371">
        <f>IF((R40="B4")*AND(R41&lt;&gt;""),VLOOKUP(R41,Barema!$AI$5:$AJ$34,2),)</f>
        <v>0</v>
      </c>
      <c r="AZ13" s="371" t="s">
        <v>6</v>
      </c>
      <c r="BA13" s="439"/>
    </row>
    <row r="14" spans="1:54" s="376" customFormat="1" x14ac:dyDescent="0.2">
      <c r="A14" s="374"/>
      <c r="B14" s="362" t="s">
        <v>173</v>
      </c>
      <c r="C14" s="363" t="s">
        <v>289</v>
      </c>
      <c r="D14" s="364"/>
      <c r="E14" s="364"/>
      <c r="F14" s="365"/>
      <c r="G14" s="365"/>
      <c r="H14" s="365"/>
      <c r="I14" s="365"/>
      <c r="J14" s="365"/>
      <c r="K14" s="365"/>
      <c r="L14" s="366">
        <f>(G14-F14)+(I14-H14)+(K14-J14)</f>
        <v>0</v>
      </c>
      <c r="M14" s="366">
        <f t="shared" si="21"/>
        <v>0</v>
      </c>
      <c r="N14" s="366">
        <f>IF(Feb!$H$46="x",AU14+Feb!$N$34,AU14)</f>
        <v>1.5833333333333333</v>
      </c>
      <c r="O14" s="377" t="str">
        <f t="shared" si="22"/>
        <v>-</v>
      </c>
      <c r="P14" s="367">
        <f t="shared" si="23"/>
        <v>1.5833333333333333</v>
      </c>
      <c r="Q14" s="364">
        <f t="shared" si="0"/>
        <v>0</v>
      </c>
      <c r="R14" s="364">
        <f t="shared" si="1"/>
        <v>0</v>
      </c>
      <c r="S14" s="364">
        <f t="shared" si="2"/>
        <v>0</v>
      </c>
      <c r="T14" s="364">
        <f t="shared" si="3"/>
        <v>0</v>
      </c>
      <c r="U14" s="366">
        <f>L14</f>
        <v>0</v>
      </c>
      <c r="V14" s="366">
        <f t="shared" si="24"/>
        <v>0</v>
      </c>
      <c r="W14" s="366">
        <f t="shared" si="25"/>
        <v>0</v>
      </c>
      <c r="X14" s="364"/>
      <c r="Y14" s="365"/>
      <c r="Z14" s="365"/>
      <c r="AA14" s="368">
        <f t="shared" si="4"/>
        <v>0</v>
      </c>
      <c r="AB14" s="368">
        <f t="shared" si="5"/>
        <v>0</v>
      </c>
      <c r="AC14" s="368">
        <f t="shared" si="27"/>
        <v>0</v>
      </c>
      <c r="AD14" s="368">
        <f t="shared" si="6"/>
        <v>0</v>
      </c>
      <c r="AE14" s="369">
        <f t="shared" si="28"/>
        <v>0</v>
      </c>
      <c r="AF14" s="368">
        <f t="shared" si="29"/>
        <v>0</v>
      </c>
      <c r="AG14" s="369">
        <f t="shared" si="30"/>
        <v>0</v>
      </c>
      <c r="AH14" s="368">
        <f t="shared" si="7"/>
        <v>0</v>
      </c>
      <c r="AI14" s="370">
        <f>IF((D14&lt;&gt;""),VLOOKUP(D14,Data!$E$36:$H$53,4),)</f>
        <v>0</v>
      </c>
      <c r="AJ14" s="370">
        <f t="shared" si="8"/>
        <v>0</v>
      </c>
      <c r="AK14" s="371">
        <f t="shared" si="9"/>
        <v>0</v>
      </c>
      <c r="AL14" s="371">
        <f t="shared" si="10"/>
        <v>0</v>
      </c>
      <c r="AM14" s="372">
        <f t="shared" si="11"/>
        <v>0</v>
      </c>
      <c r="AN14" s="370">
        <f t="shared" si="12"/>
        <v>0</v>
      </c>
      <c r="AO14" s="373">
        <f t="shared" si="13"/>
        <v>0</v>
      </c>
      <c r="AP14" s="373">
        <f t="shared" si="14"/>
        <v>0</v>
      </c>
      <c r="AQ14" s="373">
        <f t="shared" si="15"/>
        <v>0</v>
      </c>
      <c r="AR14" s="373">
        <f t="shared" si="16"/>
        <v>0</v>
      </c>
      <c r="AS14" s="371">
        <f t="shared" si="17"/>
        <v>0</v>
      </c>
      <c r="AT14" s="371">
        <f t="shared" si="18"/>
        <v>0</v>
      </c>
      <c r="AU14" s="366">
        <f>IF(Data!$H$8="x",AV14,AW14)</f>
        <v>1.5833333333333333</v>
      </c>
      <c r="AV14" s="366">
        <f t="shared" si="19"/>
        <v>0.79166666666666663</v>
      </c>
      <c r="AW14" s="366">
        <f>AW13</f>
        <v>1.5833333333333333</v>
      </c>
      <c r="AX14" s="362" t="str">
        <f t="shared" si="20"/>
        <v>Zo</v>
      </c>
      <c r="AY14" s="371">
        <f>IF((R40="B5")*AND(R41&lt;&gt;""),VLOOKUP(R41,Barema!$AL$5:$AM$34,2),)</f>
        <v>0</v>
      </c>
      <c r="AZ14" s="371" t="s">
        <v>7</v>
      </c>
      <c r="BA14" s="439"/>
    </row>
    <row r="15" spans="1:54" s="378" customFormat="1" x14ac:dyDescent="0.2">
      <c r="A15" s="309"/>
      <c r="B15" s="6" t="s">
        <v>175</v>
      </c>
      <c r="C15" s="311" t="s">
        <v>290</v>
      </c>
      <c r="D15" s="312"/>
      <c r="E15" s="312"/>
      <c r="F15" s="274"/>
      <c r="G15" s="274"/>
      <c r="H15" s="310"/>
      <c r="I15" s="310"/>
      <c r="J15" s="310"/>
      <c r="K15" s="310"/>
      <c r="L15" s="313">
        <f>(G15-F15)+(I15-H15)+(K15-J15)+AI15+AN15</f>
        <v>0</v>
      </c>
      <c r="M15" s="313">
        <f t="shared" si="21"/>
        <v>0</v>
      </c>
      <c r="N15" s="313">
        <f>IF(Feb!$H$46="x",AU15+Feb!$N$34,AU15)</f>
        <v>1.9</v>
      </c>
      <c r="O15" s="337" t="str">
        <f t="shared" si="22"/>
        <v>-</v>
      </c>
      <c r="P15" s="314">
        <f t="shared" si="23"/>
        <v>1.9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4"/>
        <v>0</v>
      </c>
      <c r="W15" s="313">
        <f t="shared" si="25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7"/>
        <v>0</v>
      </c>
      <c r="AD15" s="315">
        <f t="shared" si="6"/>
        <v>0</v>
      </c>
      <c r="AE15" s="316">
        <f t="shared" si="28"/>
        <v>0</v>
      </c>
      <c r="AF15" s="315">
        <f t="shared" si="29"/>
        <v>0</v>
      </c>
      <c r="AG15" s="316">
        <f t="shared" si="30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1.9</v>
      </c>
      <c r="AV15" s="313">
        <f t="shared" si="19"/>
        <v>0.95</v>
      </c>
      <c r="AW15" s="313">
        <f>IF(D15="V",AW14,(AW14+"07:36"))</f>
        <v>1.9</v>
      </c>
      <c r="AX15" s="6" t="str">
        <f t="shared" si="20"/>
        <v>Ma</v>
      </c>
      <c r="AY15" s="4">
        <f>IF((R40="M1.1")*AND(R41&lt;&gt;""),VLOOKUP(R41,Barema!$AO$5:$AP$31,2),)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177</v>
      </c>
      <c r="C16" s="311" t="s">
        <v>291</v>
      </c>
      <c r="D16" s="312"/>
      <c r="E16" s="312"/>
      <c r="F16" s="274"/>
      <c r="G16" s="274"/>
      <c r="H16" s="310"/>
      <c r="I16" s="310"/>
      <c r="J16" s="310"/>
      <c r="K16" s="310"/>
      <c r="L16" s="313">
        <f>(G16-F16)+(I16-H16)+(K16-J16)+AI16+AN16</f>
        <v>0</v>
      </c>
      <c r="M16" s="313">
        <f t="shared" si="21"/>
        <v>0</v>
      </c>
      <c r="N16" s="313">
        <f>IF(Feb!$H$46="x",AU16+Feb!$N$34,AU16)</f>
        <v>2.2166666666666668</v>
      </c>
      <c r="O16" s="337" t="str">
        <f t="shared" si="22"/>
        <v>-</v>
      </c>
      <c r="P16" s="314">
        <f t="shared" si="23"/>
        <v>2.2166666666666668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4"/>
        <v>0</v>
      </c>
      <c r="W16" s="313">
        <f t="shared" si="25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7"/>
        <v>0</v>
      </c>
      <c r="AD16" s="315">
        <f t="shared" si="6"/>
        <v>0</v>
      </c>
      <c r="AE16" s="316">
        <f t="shared" si="28"/>
        <v>0</v>
      </c>
      <c r="AF16" s="315">
        <f t="shared" si="29"/>
        <v>0</v>
      </c>
      <c r="AG16" s="316">
        <f t="shared" si="30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2.2166666666666668</v>
      </c>
      <c r="AV16" s="313">
        <f t="shared" si="19"/>
        <v>1.1083333333333334</v>
      </c>
      <c r="AW16" s="313">
        <f>IF(D16="V",AW15,(AW15+"07:36"))</f>
        <v>2.2166666666666668</v>
      </c>
      <c r="AX16" s="6" t="str">
        <f t="shared" si="20"/>
        <v>Di</v>
      </c>
      <c r="AY16" s="4">
        <f>IF((R40="M1.2")*AND(R41&lt;&gt;""),VLOOKUP(R41,Barema!$AR$5:$AS$31,2),)</f>
        <v>0</v>
      </c>
      <c r="AZ16" s="4" t="s">
        <v>9</v>
      </c>
      <c r="BA16" s="102"/>
    </row>
    <row r="17" spans="1:53" s="378" customFormat="1" x14ac:dyDescent="0.2">
      <c r="A17" s="309"/>
      <c r="B17" s="6" t="s">
        <v>179</v>
      </c>
      <c r="C17" s="311" t="s">
        <v>292</v>
      </c>
      <c r="D17" s="312"/>
      <c r="E17" s="312"/>
      <c r="F17" s="274"/>
      <c r="G17" s="274"/>
      <c r="H17" s="310"/>
      <c r="I17" s="310"/>
      <c r="J17" s="310"/>
      <c r="K17" s="310"/>
      <c r="L17" s="313">
        <f>(G17-F17)+(I17-H17)+(K17-J17)+AI17+AN17</f>
        <v>0</v>
      </c>
      <c r="M17" s="313">
        <f>M16+L17</f>
        <v>0</v>
      </c>
      <c r="N17" s="313">
        <f>IF(Feb!$H$46="x",AU17+Feb!$N$34,AU17)</f>
        <v>2.5333333333333332</v>
      </c>
      <c r="O17" s="337" t="str">
        <f t="shared" si="22"/>
        <v>-</v>
      </c>
      <c r="P17" s="314">
        <f t="shared" si="23"/>
        <v>2.5333333333333332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4"/>
        <v>0</v>
      </c>
      <c r="W17" s="313">
        <f t="shared" si="25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7"/>
        <v>0</v>
      </c>
      <c r="AD17" s="315">
        <f t="shared" si="6"/>
        <v>0</v>
      </c>
      <c r="AE17" s="316">
        <f t="shared" si="28"/>
        <v>0</v>
      </c>
      <c r="AF17" s="315">
        <f t="shared" si="29"/>
        <v>0</v>
      </c>
      <c r="AG17" s="316">
        <f t="shared" si="30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2.5333333333333332</v>
      </c>
      <c r="AV17" s="313">
        <f t="shared" si="19"/>
        <v>1.2666666666666666</v>
      </c>
      <c r="AW17" s="313">
        <f>IF(D17="V",AW16,(AW16+"07:36"))</f>
        <v>2.5333333333333332</v>
      </c>
      <c r="AX17" s="6" t="str">
        <f t="shared" si="20"/>
        <v>Wo</v>
      </c>
      <c r="AY17" s="4">
        <f>IF((R40="M2.1")*AND(R41&lt;&gt;""),VLOOKUP(R41,Barema!$AU$5:$AV$31,2),)</f>
        <v>0</v>
      </c>
      <c r="AZ17" s="4" t="s">
        <v>10</v>
      </c>
      <c r="BA17" s="102"/>
    </row>
    <row r="18" spans="1:53" s="378" customFormat="1" x14ac:dyDescent="0.2">
      <c r="A18" s="309"/>
      <c r="B18" s="6" t="s">
        <v>167</v>
      </c>
      <c r="C18" s="311" t="s">
        <v>293</v>
      </c>
      <c r="D18" s="312"/>
      <c r="E18" s="312"/>
      <c r="F18" s="274"/>
      <c r="G18" s="274"/>
      <c r="H18" s="310"/>
      <c r="I18" s="310"/>
      <c r="J18" s="310"/>
      <c r="K18" s="310"/>
      <c r="L18" s="313">
        <f>(G18-F18)+(I18-H18)+(K18-J18)+AI18+AN18</f>
        <v>0</v>
      </c>
      <c r="M18" s="313">
        <f>M17+L18</f>
        <v>0</v>
      </c>
      <c r="N18" s="313">
        <f>IF(Feb!$H$46="x",AU18+Feb!$N$34,AU18)</f>
        <v>2.8499999999999996</v>
      </c>
      <c r="O18" s="337" t="str">
        <f t="shared" si="22"/>
        <v>-</v>
      </c>
      <c r="P18" s="314">
        <f t="shared" si="23"/>
        <v>2.8499999999999996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4"/>
        <v>0</v>
      </c>
      <c r="W18" s="313">
        <f t="shared" si="25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7"/>
        <v>0</v>
      </c>
      <c r="AD18" s="315">
        <f t="shared" si="6"/>
        <v>0</v>
      </c>
      <c r="AE18" s="316">
        <f t="shared" si="28"/>
        <v>0</v>
      </c>
      <c r="AF18" s="315">
        <f t="shared" si="29"/>
        <v>0</v>
      </c>
      <c r="AG18" s="316">
        <f t="shared" si="30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2.8499999999999996</v>
      </c>
      <c r="AV18" s="313">
        <f t="shared" si="19"/>
        <v>1.4249999999999998</v>
      </c>
      <c r="AW18" s="313">
        <f>IF(D18="V",AW17,(AW17+"07:36"))</f>
        <v>2.8499999999999996</v>
      </c>
      <c r="AX18" s="6" t="str">
        <f t="shared" si="20"/>
        <v>Do</v>
      </c>
      <c r="AY18" s="4">
        <f>IF((R40="M2.2")*AND(R41&lt;&gt;""),VLOOKUP(R41,Barema!$AX$5:$AY$31,2),)</f>
        <v>0</v>
      </c>
      <c r="AZ18" s="4" t="s">
        <v>11</v>
      </c>
      <c r="BA18" s="102"/>
    </row>
    <row r="19" spans="1:53" s="378" customFormat="1" x14ac:dyDescent="0.2">
      <c r="A19" s="309"/>
      <c r="B19" s="6" t="s">
        <v>169</v>
      </c>
      <c r="C19" s="311" t="s">
        <v>294</v>
      </c>
      <c r="D19" s="312"/>
      <c r="E19" s="312"/>
      <c r="F19" s="274"/>
      <c r="G19" s="274"/>
      <c r="H19" s="310"/>
      <c r="I19" s="310"/>
      <c r="J19" s="310"/>
      <c r="K19" s="310"/>
      <c r="L19" s="313">
        <f>(G19-F19)+(I19-H19)+(K19-J19)+AI19+AN19</f>
        <v>0</v>
      </c>
      <c r="M19" s="313">
        <f t="shared" si="21"/>
        <v>0</v>
      </c>
      <c r="N19" s="313">
        <f>IF(Feb!$H$46="x",AU19+Feb!$N$34,AU19)</f>
        <v>3.1666666666666661</v>
      </c>
      <c r="O19" s="337" t="str">
        <f t="shared" si="22"/>
        <v>-</v>
      </c>
      <c r="P19" s="314">
        <f t="shared" si="23"/>
        <v>3.1666666666666661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4"/>
        <v>0</v>
      </c>
      <c r="W19" s="313">
        <f t="shared" si="25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7"/>
        <v>0</v>
      </c>
      <c r="AD19" s="315">
        <f t="shared" si="6"/>
        <v>0</v>
      </c>
      <c r="AE19" s="316">
        <f t="shared" si="28"/>
        <v>0</v>
      </c>
      <c r="AF19" s="315">
        <f t="shared" si="29"/>
        <v>0</v>
      </c>
      <c r="AG19" s="316">
        <f t="shared" si="30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3.1666666666666661</v>
      </c>
      <c r="AV19" s="313">
        <f t="shared" si="19"/>
        <v>1.583333333333333</v>
      </c>
      <c r="AW19" s="313">
        <f>IF(D19="V",AW18,(AW18+"07:36"))</f>
        <v>3.1666666666666661</v>
      </c>
      <c r="AX19" s="6" t="str">
        <f t="shared" si="20"/>
        <v>Vr</v>
      </c>
      <c r="AY19" s="4">
        <f>IF((R40="M3.1")*AND(R41&lt;&gt;""),VLOOKUP(R41,Barema!$BA$5:$BB$31,2),)</f>
        <v>0</v>
      </c>
      <c r="AZ19" s="4" t="s">
        <v>12</v>
      </c>
      <c r="BA19" s="102"/>
    </row>
    <row r="20" spans="1:53" s="376" customFormat="1" x14ac:dyDescent="0.2">
      <c r="A20" s="374"/>
      <c r="B20" s="362" t="s">
        <v>171</v>
      </c>
      <c r="C20" s="363" t="s">
        <v>295</v>
      </c>
      <c r="D20" s="364"/>
      <c r="E20" s="364"/>
      <c r="F20" s="365"/>
      <c r="G20" s="365"/>
      <c r="H20" s="365"/>
      <c r="I20" s="365"/>
      <c r="J20" s="365"/>
      <c r="K20" s="365"/>
      <c r="L20" s="366">
        <f>(G20-F20)+(I20-H20)+(K20-J20)</f>
        <v>0</v>
      </c>
      <c r="M20" s="366">
        <f t="shared" si="21"/>
        <v>0</v>
      </c>
      <c r="N20" s="366">
        <f>IF(Feb!$H$46="x",AU20+Feb!$N$34,AU20)</f>
        <v>3.1666666666666661</v>
      </c>
      <c r="O20" s="377" t="str">
        <f t="shared" si="22"/>
        <v>-</v>
      </c>
      <c r="P20" s="367">
        <f t="shared" si="23"/>
        <v>3.1666666666666661</v>
      </c>
      <c r="Q20" s="364">
        <f t="shared" si="0"/>
        <v>0</v>
      </c>
      <c r="R20" s="364">
        <f t="shared" si="1"/>
        <v>0</v>
      </c>
      <c r="S20" s="364">
        <f t="shared" si="2"/>
        <v>0</v>
      </c>
      <c r="T20" s="364">
        <f t="shared" si="3"/>
        <v>0</v>
      </c>
      <c r="U20" s="366">
        <f>L20</f>
        <v>0</v>
      </c>
      <c r="V20" s="366">
        <f t="shared" si="24"/>
        <v>0</v>
      </c>
      <c r="W20" s="366">
        <f t="shared" si="25"/>
        <v>0</v>
      </c>
      <c r="X20" s="364"/>
      <c r="Y20" s="365"/>
      <c r="Z20" s="365"/>
      <c r="AA20" s="368">
        <f t="shared" si="4"/>
        <v>0</v>
      </c>
      <c r="AB20" s="368">
        <f t="shared" si="5"/>
        <v>0</v>
      </c>
      <c r="AC20" s="368">
        <f t="shared" si="27"/>
        <v>0</v>
      </c>
      <c r="AD20" s="368">
        <f t="shared" si="6"/>
        <v>0</v>
      </c>
      <c r="AE20" s="369">
        <f t="shared" si="28"/>
        <v>0</v>
      </c>
      <c r="AF20" s="368">
        <f t="shared" si="29"/>
        <v>0</v>
      </c>
      <c r="AG20" s="369">
        <f t="shared" si="30"/>
        <v>0</v>
      </c>
      <c r="AH20" s="368">
        <f t="shared" si="7"/>
        <v>0</v>
      </c>
      <c r="AI20" s="370">
        <f>IF((D20&lt;&gt;""),VLOOKUP(D20,Data!$E$36:$H$53,4),)</f>
        <v>0</v>
      </c>
      <c r="AJ20" s="370">
        <f t="shared" si="8"/>
        <v>0</v>
      </c>
      <c r="AK20" s="371">
        <f t="shared" si="9"/>
        <v>0</v>
      </c>
      <c r="AL20" s="371">
        <f t="shared" si="10"/>
        <v>0</v>
      </c>
      <c r="AM20" s="372">
        <f t="shared" si="11"/>
        <v>0</v>
      </c>
      <c r="AN20" s="370">
        <f t="shared" si="12"/>
        <v>0</v>
      </c>
      <c r="AO20" s="373">
        <f t="shared" si="13"/>
        <v>0</v>
      </c>
      <c r="AP20" s="373">
        <f t="shared" si="14"/>
        <v>0</v>
      </c>
      <c r="AQ20" s="373">
        <f t="shared" si="15"/>
        <v>0</v>
      </c>
      <c r="AR20" s="373">
        <f t="shared" si="16"/>
        <v>0</v>
      </c>
      <c r="AS20" s="371">
        <f t="shared" si="17"/>
        <v>0</v>
      </c>
      <c r="AT20" s="371">
        <f t="shared" si="18"/>
        <v>0</v>
      </c>
      <c r="AU20" s="366">
        <f>IF(Data!$H$8="x",AV20,AW20)</f>
        <v>3.1666666666666661</v>
      </c>
      <c r="AV20" s="366">
        <f t="shared" si="19"/>
        <v>1.583333333333333</v>
      </c>
      <c r="AW20" s="366">
        <f>AW19</f>
        <v>3.1666666666666661</v>
      </c>
      <c r="AX20" s="362" t="str">
        <f t="shared" si="20"/>
        <v>Za</v>
      </c>
      <c r="AY20" s="371">
        <f>IF((R40="M3.2")*AND(R41&lt;&gt;""),VLOOKUP(R41,Barema!$BD$5:$BE$31,2),)</f>
        <v>0</v>
      </c>
      <c r="AZ20" s="371" t="s">
        <v>13</v>
      </c>
      <c r="BA20" s="439"/>
    </row>
    <row r="21" spans="1:53" s="376" customFormat="1" x14ac:dyDescent="0.2">
      <c r="A21" s="374"/>
      <c r="B21" s="362" t="s">
        <v>173</v>
      </c>
      <c r="C21" s="363" t="s">
        <v>296</v>
      </c>
      <c r="D21" s="364"/>
      <c r="E21" s="364"/>
      <c r="F21" s="365"/>
      <c r="G21" s="365"/>
      <c r="H21" s="365"/>
      <c r="I21" s="365"/>
      <c r="J21" s="365"/>
      <c r="K21" s="365"/>
      <c r="L21" s="366">
        <f>(G21-F21)+(I21-H21)+(K21-J21)</f>
        <v>0</v>
      </c>
      <c r="M21" s="366">
        <f t="shared" si="21"/>
        <v>0</v>
      </c>
      <c r="N21" s="366">
        <f>IF(Feb!$H$46="x",AU21+Feb!$N$34,AU21)</f>
        <v>3.1666666666666661</v>
      </c>
      <c r="O21" s="377" t="str">
        <f t="shared" si="22"/>
        <v>-</v>
      </c>
      <c r="P21" s="367">
        <f t="shared" si="23"/>
        <v>3.1666666666666661</v>
      </c>
      <c r="Q21" s="364">
        <f t="shared" si="0"/>
        <v>0</v>
      </c>
      <c r="R21" s="364">
        <f t="shared" si="1"/>
        <v>0</v>
      </c>
      <c r="S21" s="364">
        <f t="shared" si="2"/>
        <v>0</v>
      </c>
      <c r="T21" s="364">
        <f t="shared" si="3"/>
        <v>0</v>
      </c>
      <c r="U21" s="366">
        <f>L21</f>
        <v>0</v>
      </c>
      <c r="V21" s="366">
        <f t="shared" si="24"/>
        <v>0</v>
      </c>
      <c r="W21" s="366">
        <f t="shared" si="25"/>
        <v>0</v>
      </c>
      <c r="X21" s="364"/>
      <c r="Y21" s="365"/>
      <c r="Z21" s="365"/>
      <c r="AA21" s="368">
        <f t="shared" si="4"/>
        <v>0</v>
      </c>
      <c r="AB21" s="368">
        <f t="shared" si="5"/>
        <v>0</v>
      </c>
      <c r="AC21" s="368">
        <f t="shared" si="27"/>
        <v>0</v>
      </c>
      <c r="AD21" s="368">
        <f t="shared" si="6"/>
        <v>0</v>
      </c>
      <c r="AE21" s="369">
        <f t="shared" si="28"/>
        <v>0</v>
      </c>
      <c r="AF21" s="368">
        <f t="shared" si="29"/>
        <v>0</v>
      </c>
      <c r="AG21" s="369">
        <f t="shared" si="30"/>
        <v>0</v>
      </c>
      <c r="AH21" s="368">
        <f t="shared" si="7"/>
        <v>0</v>
      </c>
      <c r="AI21" s="370">
        <f>IF((D21&lt;&gt;""),VLOOKUP(D21,Data!$E$36:$H$53,4),)</f>
        <v>0</v>
      </c>
      <c r="AJ21" s="370">
        <f t="shared" si="8"/>
        <v>0</v>
      </c>
      <c r="AK21" s="371">
        <f t="shared" si="9"/>
        <v>0</v>
      </c>
      <c r="AL21" s="371">
        <f t="shared" si="10"/>
        <v>0</v>
      </c>
      <c r="AM21" s="372">
        <f t="shared" si="11"/>
        <v>0</v>
      </c>
      <c r="AN21" s="370">
        <f t="shared" si="12"/>
        <v>0</v>
      </c>
      <c r="AO21" s="373">
        <f t="shared" si="13"/>
        <v>0</v>
      </c>
      <c r="AP21" s="373">
        <f t="shared" si="14"/>
        <v>0</v>
      </c>
      <c r="AQ21" s="373">
        <f t="shared" si="15"/>
        <v>0</v>
      </c>
      <c r="AR21" s="373">
        <f t="shared" si="16"/>
        <v>0</v>
      </c>
      <c r="AS21" s="371">
        <f t="shared" si="17"/>
        <v>0</v>
      </c>
      <c r="AT21" s="371">
        <f t="shared" si="18"/>
        <v>0</v>
      </c>
      <c r="AU21" s="366">
        <f>IF(Data!$H$8="x",AV21,AW21)</f>
        <v>3.1666666666666661</v>
      </c>
      <c r="AV21" s="366">
        <f t="shared" si="19"/>
        <v>1.583333333333333</v>
      </c>
      <c r="AW21" s="366">
        <f>AW20</f>
        <v>3.1666666666666661</v>
      </c>
      <c r="AX21" s="362" t="str">
        <f t="shared" si="20"/>
        <v>Zo</v>
      </c>
      <c r="AY21" s="371">
        <f>IF((R40="M4.1")*AND(R41&lt;&gt;""),VLOOKUP(R41,Barema!$BG$5:$BH$34,2),)</f>
        <v>0</v>
      </c>
      <c r="AZ21" s="371" t="s">
        <v>14</v>
      </c>
      <c r="BA21" s="439"/>
    </row>
    <row r="22" spans="1:53" s="378" customFormat="1" x14ac:dyDescent="0.2">
      <c r="A22" s="309"/>
      <c r="B22" s="6" t="s">
        <v>175</v>
      </c>
      <c r="C22" s="311" t="s">
        <v>297</v>
      </c>
      <c r="D22" s="312"/>
      <c r="E22" s="312"/>
      <c r="F22" s="274"/>
      <c r="G22" s="274"/>
      <c r="H22" s="310"/>
      <c r="I22" s="310"/>
      <c r="J22" s="310"/>
      <c r="K22" s="310"/>
      <c r="L22" s="313">
        <f>(G22-F22)+(I22-H22)+(K22-J22)+AI22+AN22</f>
        <v>0</v>
      </c>
      <c r="M22" s="313">
        <f t="shared" si="21"/>
        <v>0</v>
      </c>
      <c r="N22" s="313">
        <f>IF(Feb!$H$46="x",AU22+Feb!$N$34,AU22)</f>
        <v>3.4833333333333325</v>
      </c>
      <c r="O22" s="337" t="str">
        <f t="shared" si="22"/>
        <v>-</v>
      </c>
      <c r="P22" s="314">
        <f t="shared" si="23"/>
        <v>3.4833333333333325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4"/>
        <v>0</v>
      </c>
      <c r="W22" s="313">
        <f t="shared" si="25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7"/>
        <v>0</v>
      </c>
      <c r="AD22" s="315">
        <f t="shared" si="6"/>
        <v>0</v>
      </c>
      <c r="AE22" s="316">
        <f t="shared" si="28"/>
        <v>0</v>
      </c>
      <c r="AF22" s="315">
        <f t="shared" si="29"/>
        <v>0</v>
      </c>
      <c r="AG22" s="316">
        <f t="shared" si="30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3.4833333333333325</v>
      </c>
      <c r="AV22" s="313">
        <f t="shared" si="19"/>
        <v>1.7416666666666663</v>
      </c>
      <c r="AW22" s="313">
        <f>IF(D22="V",AW21,(AW21+"07:36"))</f>
        <v>3.4833333333333325</v>
      </c>
      <c r="AX22" s="6" t="str">
        <f t="shared" si="20"/>
        <v>Ma</v>
      </c>
      <c r="AY22" s="4">
        <f>IF((R40="M4.2")*AND(R41&lt;&gt;""),VLOOKUP(R41,Barema!$BJ$5:$BK$31,2),)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177</v>
      </c>
      <c r="C23" s="311" t="s">
        <v>298</v>
      </c>
      <c r="D23" s="312"/>
      <c r="E23" s="312"/>
      <c r="F23" s="274"/>
      <c r="G23" s="274"/>
      <c r="H23" s="310"/>
      <c r="I23" s="310"/>
      <c r="J23" s="310"/>
      <c r="K23" s="310"/>
      <c r="L23" s="313">
        <f>(G23-F23)+(I23-H23)+(K23-J23)+AI23+AN23</f>
        <v>0</v>
      </c>
      <c r="M23" s="313">
        <f t="shared" si="21"/>
        <v>0</v>
      </c>
      <c r="N23" s="313">
        <f>IF(Feb!$H$46="x",AU23+Feb!$N$34,AU23)</f>
        <v>3.7999999999999989</v>
      </c>
      <c r="O23" s="337" t="str">
        <f t="shared" si="22"/>
        <v>-</v>
      </c>
      <c r="P23" s="314">
        <f t="shared" si="23"/>
        <v>3.7999999999999989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4"/>
        <v>0</v>
      </c>
      <c r="W23" s="313">
        <f t="shared" si="25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7"/>
        <v>0</v>
      </c>
      <c r="AD23" s="315">
        <f t="shared" si="6"/>
        <v>0</v>
      </c>
      <c r="AE23" s="316">
        <f t="shared" si="28"/>
        <v>0</v>
      </c>
      <c r="AF23" s="315">
        <f t="shared" si="29"/>
        <v>0</v>
      </c>
      <c r="AG23" s="316">
        <f t="shared" si="30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3.7999999999999989</v>
      </c>
      <c r="AV23" s="313">
        <f t="shared" si="19"/>
        <v>1.8999999999999995</v>
      </c>
      <c r="AW23" s="313">
        <f>IF(D23="V",AW22,(AW22+"07:36"))</f>
        <v>3.7999999999999989</v>
      </c>
      <c r="AX23" s="6" t="str">
        <f t="shared" si="20"/>
        <v>Di</v>
      </c>
      <c r="AY23" s="4">
        <f>IF((R40="M5.1")*AND(R41&lt;&gt;""),VLOOKUP(R41,Barema!$BM$5:$BN$34,2),)</f>
        <v>0</v>
      </c>
      <c r="AZ23" s="4" t="s">
        <v>16</v>
      </c>
      <c r="BA23" s="102"/>
    </row>
    <row r="24" spans="1:53" s="378" customFormat="1" x14ac:dyDescent="0.2">
      <c r="A24" s="309"/>
      <c r="B24" s="6" t="s">
        <v>179</v>
      </c>
      <c r="C24" s="311" t="s">
        <v>299</v>
      </c>
      <c r="D24" s="312"/>
      <c r="E24" s="312"/>
      <c r="F24" s="274"/>
      <c r="G24" s="274"/>
      <c r="H24" s="310"/>
      <c r="I24" s="310"/>
      <c r="J24" s="310"/>
      <c r="K24" s="310"/>
      <c r="L24" s="313">
        <f>(G24-F24)+(I24-H24)+(K24-J24)+AI24+AN24</f>
        <v>0</v>
      </c>
      <c r="M24" s="313">
        <f>M23+L24</f>
        <v>0</v>
      </c>
      <c r="N24" s="313">
        <f>IF(Feb!$H$46="x",AU24+Feb!$N$34,AU24)</f>
        <v>4.1166666666666654</v>
      </c>
      <c r="O24" s="337" t="str">
        <f t="shared" si="22"/>
        <v>-</v>
      </c>
      <c r="P24" s="314">
        <f t="shared" si="23"/>
        <v>4.1166666666666654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4"/>
        <v>0</v>
      </c>
      <c r="W24" s="313">
        <f t="shared" si="25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7"/>
        <v>0</v>
      </c>
      <c r="AD24" s="315">
        <f t="shared" si="6"/>
        <v>0</v>
      </c>
      <c r="AE24" s="316">
        <f t="shared" si="28"/>
        <v>0</v>
      </c>
      <c r="AF24" s="315">
        <f t="shared" si="29"/>
        <v>0</v>
      </c>
      <c r="AG24" s="316">
        <f t="shared" si="30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4.1166666666666654</v>
      </c>
      <c r="AV24" s="313">
        <f t="shared" si="19"/>
        <v>2.0583333333333327</v>
      </c>
      <c r="AW24" s="313">
        <f>IF(D24="V",AW23,(AW23+"07:36"))</f>
        <v>4.1166666666666654</v>
      </c>
      <c r="AX24" s="6" t="str">
        <f t="shared" si="20"/>
        <v>Wo</v>
      </c>
      <c r="AY24" s="4">
        <f>IF((R40="M5.2")*AND(R41&lt;&gt;""),VLOOKUP(R41,Barema!$BP$5:$BQ$31,2),)</f>
        <v>0</v>
      </c>
      <c r="AZ24" s="4" t="s">
        <v>17</v>
      </c>
      <c r="BA24" s="102"/>
    </row>
    <row r="25" spans="1:53" s="378" customFormat="1" x14ac:dyDescent="0.2">
      <c r="A25" s="309"/>
      <c r="B25" s="6" t="s">
        <v>167</v>
      </c>
      <c r="C25" s="311" t="s">
        <v>300</v>
      </c>
      <c r="D25" s="312"/>
      <c r="E25" s="312"/>
      <c r="F25" s="274"/>
      <c r="G25" s="274"/>
      <c r="H25" s="310"/>
      <c r="I25" s="310"/>
      <c r="J25" s="310"/>
      <c r="K25" s="310"/>
      <c r="L25" s="313">
        <f>(G25-F25)+(I25-H25)+(K25-J25)+AI25+AN25</f>
        <v>0</v>
      </c>
      <c r="M25" s="313">
        <f>M24+L25</f>
        <v>0</v>
      </c>
      <c r="N25" s="313">
        <f>IF(Feb!$H$46="x",AU25+Feb!$N$34,AU25)</f>
        <v>4.4333333333333318</v>
      </c>
      <c r="O25" s="337" t="str">
        <f t="shared" si="22"/>
        <v>-</v>
      </c>
      <c r="P25" s="314">
        <f t="shared" si="23"/>
        <v>4.4333333333333318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4"/>
        <v>0</v>
      </c>
      <c r="W25" s="313">
        <f t="shared" si="25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7"/>
        <v>0</v>
      </c>
      <c r="AD25" s="315">
        <f t="shared" si="6"/>
        <v>0</v>
      </c>
      <c r="AE25" s="316">
        <f t="shared" si="28"/>
        <v>0</v>
      </c>
      <c r="AF25" s="315">
        <f t="shared" si="29"/>
        <v>0</v>
      </c>
      <c r="AG25" s="316">
        <f t="shared" si="30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4.4333333333333318</v>
      </c>
      <c r="AV25" s="313">
        <f t="shared" si="19"/>
        <v>2.2166666666666659</v>
      </c>
      <c r="AW25" s="313">
        <f>IF(D25="V",AW24,(AW24+"07:36"))</f>
        <v>4.4333333333333318</v>
      </c>
      <c r="AX25" s="6" t="str">
        <f t="shared" si="20"/>
        <v>Do</v>
      </c>
      <c r="AY25" s="4">
        <f>IF((R40="M6")*AND(R41&lt;&gt;""),VLOOKUP(R41,Barema!$BS$5:$BT$31,2),)</f>
        <v>0</v>
      </c>
      <c r="AZ25" s="4" t="s">
        <v>18</v>
      </c>
      <c r="BA25" s="102"/>
    </row>
    <row r="26" spans="1:53" s="378" customFormat="1" x14ac:dyDescent="0.2">
      <c r="A26" s="309"/>
      <c r="B26" s="6" t="s">
        <v>169</v>
      </c>
      <c r="C26" s="311" t="s">
        <v>301</v>
      </c>
      <c r="D26" s="312"/>
      <c r="E26" s="312"/>
      <c r="F26" s="274"/>
      <c r="G26" s="274"/>
      <c r="H26" s="310"/>
      <c r="I26" s="310"/>
      <c r="J26" s="310"/>
      <c r="K26" s="310"/>
      <c r="L26" s="313">
        <f>(G26-F26)+(I26-H26)+(K26-J26)+AI26+AN26</f>
        <v>0</v>
      </c>
      <c r="M26" s="313">
        <f t="shared" si="21"/>
        <v>0</v>
      </c>
      <c r="N26" s="313">
        <f>IF(Feb!$H$46="x",AU26+Feb!$N$34,AU26)</f>
        <v>4.7499999999999982</v>
      </c>
      <c r="O26" s="337" t="str">
        <f t="shared" si="22"/>
        <v>-</v>
      </c>
      <c r="P26" s="314">
        <f t="shared" si="23"/>
        <v>4.7499999999999982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4"/>
        <v>0</v>
      </c>
      <c r="W26" s="313">
        <f t="shared" si="25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7"/>
        <v>0</v>
      </c>
      <c r="AD26" s="315">
        <f t="shared" si="6"/>
        <v>0</v>
      </c>
      <c r="AE26" s="316">
        <f t="shared" si="28"/>
        <v>0</v>
      </c>
      <c r="AF26" s="315">
        <f t="shared" si="29"/>
        <v>0</v>
      </c>
      <c r="AG26" s="316">
        <f t="shared" si="30"/>
        <v>0</v>
      </c>
      <c r="AH26" s="315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4.7499999999999982</v>
      </c>
      <c r="AV26" s="313">
        <f t="shared" si="19"/>
        <v>2.3749999999999991</v>
      </c>
      <c r="AW26" s="313">
        <f>IF(D26="V",AW25,(AW25+"07:36"))</f>
        <v>4.7499999999999982</v>
      </c>
      <c r="AX26" s="6" t="str">
        <f t="shared" si="20"/>
        <v>Vr</v>
      </c>
      <c r="AY26" s="4">
        <f>IF((R40="M7")*AND(R41&lt;&gt;""),VLOOKUP(R41,Barema!$BV$5:$BW$31,2),)</f>
        <v>0</v>
      </c>
      <c r="AZ26" s="4" t="s">
        <v>19</v>
      </c>
      <c r="BA26" s="102"/>
    </row>
    <row r="27" spans="1:53" s="376" customFormat="1" x14ac:dyDescent="0.2">
      <c r="A27" s="374"/>
      <c r="B27" s="362" t="s">
        <v>171</v>
      </c>
      <c r="C27" s="363" t="s">
        <v>302</v>
      </c>
      <c r="D27" s="364"/>
      <c r="E27" s="364"/>
      <c r="F27" s="365"/>
      <c r="G27" s="365"/>
      <c r="H27" s="365"/>
      <c r="I27" s="365"/>
      <c r="J27" s="365"/>
      <c r="K27" s="365"/>
      <c r="L27" s="366">
        <f>(G27-F27)+(I27-H27)+(K27-J27)</f>
        <v>0</v>
      </c>
      <c r="M27" s="366">
        <f t="shared" si="21"/>
        <v>0</v>
      </c>
      <c r="N27" s="366">
        <f>IF(Feb!$H$46="x",AU27+Feb!$N$34,AU27)</f>
        <v>4.7499999999999982</v>
      </c>
      <c r="O27" s="377" t="str">
        <f t="shared" si="22"/>
        <v>-</v>
      </c>
      <c r="P27" s="367">
        <f t="shared" si="23"/>
        <v>4.7499999999999982</v>
      </c>
      <c r="Q27" s="364">
        <f t="shared" si="0"/>
        <v>0</v>
      </c>
      <c r="R27" s="364">
        <f t="shared" si="1"/>
        <v>0</v>
      </c>
      <c r="S27" s="364">
        <f t="shared" si="2"/>
        <v>0</v>
      </c>
      <c r="T27" s="364">
        <f t="shared" si="3"/>
        <v>0</v>
      </c>
      <c r="U27" s="366">
        <f>L27</f>
        <v>0</v>
      </c>
      <c r="V27" s="366">
        <f t="shared" si="24"/>
        <v>0</v>
      </c>
      <c r="W27" s="366">
        <f t="shared" si="25"/>
        <v>0</v>
      </c>
      <c r="X27" s="364"/>
      <c r="Y27" s="365"/>
      <c r="Z27" s="365"/>
      <c r="AA27" s="368">
        <f t="shared" si="4"/>
        <v>0</v>
      </c>
      <c r="AB27" s="368">
        <f t="shared" si="5"/>
        <v>0</v>
      </c>
      <c r="AC27" s="368">
        <f t="shared" si="27"/>
        <v>0</v>
      </c>
      <c r="AD27" s="368">
        <f t="shared" si="6"/>
        <v>0</v>
      </c>
      <c r="AE27" s="369">
        <f t="shared" si="28"/>
        <v>0</v>
      </c>
      <c r="AF27" s="368">
        <f t="shared" si="29"/>
        <v>0</v>
      </c>
      <c r="AG27" s="369">
        <f t="shared" si="30"/>
        <v>0</v>
      </c>
      <c r="AH27" s="368">
        <f t="shared" si="7"/>
        <v>0</v>
      </c>
      <c r="AI27" s="370">
        <f>IF((D27&lt;&gt;""),VLOOKUP(D27,Data!$E$36:$H$53,4),)</f>
        <v>0</v>
      </c>
      <c r="AJ27" s="370">
        <f t="shared" si="8"/>
        <v>0</v>
      </c>
      <c r="AK27" s="371">
        <f t="shared" si="9"/>
        <v>0</v>
      </c>
      <c r="AL27" s="371">
        <f t="shared" si="10"/>
        <v>0</v>
      </c>
      <c r="AM27" s="372">
        <f t="shared" si="11"/>
        <v>0</v>
      </c>
      <c r="AN27" s="370">
        <f t="shared" si="12"/>
        <v>0</v>
      </c>
      <c r="AO27" s="373">
        <f t="shared" si="13"/>
        <v>0</v>
      </c>
      <c r="AP27" s="373">
        <f t="shared" si="14"/>
        <v>0</v>
      </c>
      <c r="AQ27" s="373">
        <f t="shared" si="15"/>
        <v>0</v>
      </c>
      <c r="AR27" s="373">
        <f t="shared" si="16"/>
        <v>0</v>
      </c>
      <c r="AS27" s="371">
        <f t="shared" si="17"/>
        <v>0</v>
      </c>
      <c r="AT27" s="371">
        <f t="shared" si="18"/>
        <v>0</v>
      </c>
      <c r="AU27" s="366">
        <f>IF(Data!$H$8="x",AV27,AW27)</f>
        <v>4.7499999999999982</v>
      </c>
      <c r="AV27" s="366">
        <f t="shared" si="19"/>
        <v>2.3749999999999991</v>
      </c>
      <c r="AW27" s="366">
        <f>AW26</f>
        <v>4.7499999999999982</v>
      </c>
      <c r="AX27" s="362" t="str">
        <f t="shared" si="20"/>
        <v>Za</v>
      </c>
      <c r="AY27" s="371">
        <f>IF((R40="M7bis")*AND(R41&lt;&gt;""),VLOOKUP(R41,Barema!$BY$5:$BZ$31,2),)</f>
        <v>0</v>
      </c>
      <c r="AZ27" s="371" t="s">
        <v>20</v>
      </c>
      <c r="BA27" s="439"/>
    </row>
    <row r="28" spans="1:53" s="376" customFormat="1" x14ac:dyDescent="0.2">
      <c r="A28" s="374"/>
      <c r="B28" s="362" t="s">
        <v>173</v>
      </c>
      <c r="C28" s="363" t="s">
        <v>303</v>
      </c>
      <c r="D28" s="364"/>
      <c r="E28" s="364"/>
      <c r="F28" s="365"/>
      <c r="G28" s="365"/>
      <c r="H28" s="365"/>
      <c r="I28" s="365"/>
      <c r="J28" s="365"/>
      <c r="K28" s="365"/>
      <c r="L28" s="366">
        <f>(G28-F28)+(I28-H28)+(K28-J28)</f>
        <v>0</v>
      </c>
      <c r="M28" s="366">
        <f t="shared" si="21"/>
        <v>0</v>
      </c>
      <c r="N28" s="366">
        <f>IF(Feb!$H$46="x",AU28+Feb!$N$34,AU28)</f>
        <v>4.7499999999999982</v>
      </c>
      <c r="O28" s="377" t="str">
        <f t="shared" si="22"/>
        <v>-</v>
      </c>
      <c r="P28" s="367">
        <f t="shared" si="23"/>
        <v>4.7499999999999982</v>
      </c>
      <c r="Q28" s="364">
        <f t="shared" si="0"/>
        <v>0</v>
      </c>
      <c r="R28" s="364">
        <f t="shared" si="1"/>
        <v>0</v>
      </c>
      <c r="S28" s="364">
        <f t="shared" si="2"/>
        <v>0</v>
      </c>
      <c r="T28" s="364">
        <f t="shared" si="3"/>
        <v>0</v>
      </c>
      <c r="U28" s="366">
        <f>L28</f>
        <v>0</v>
      </c>
      <c r="V28" s="366">
        <f t="shared" si="24"/>
        <v>0</v>
      </c>
      <c r="W28" s="366">
        <f t="shared" si="25"/>
        <v>0</v>
      </c>
      <c r="X28" s="364"/>
      <c r="Y28" s="365"/>
      <c r="Z28" s="365"/>
      <c r="AA28" s="368">
        <f t="shared" si="4"/>
        <v>0</v>
      </c>
      <c r="AB28" s="368">
        <f t="shared" si="5"/>
        <v>0</v>
      </c>
      <c r="AC28" s="368">
        <f t="shared" si="27"/>
        <v>0</v>
      </c>
      <c r="AD28" s="368">
        <f t="shared" si="6"/>
        <v>0</v>
      </c>
      <c r="AE28" s="369">
        <f t="shared" si="28"/>
        <v>0</v>
      </c>
      <c r="AF28" s="368">
        <f t="shared" si="29"/>
        <v>0</v>
      </c>
      <c r="AG28" s="369">
        <f t="shared" si="30"/>
        <v>0</v>
      </c>
      <c r="AH28" s="368">
        <f t="shared" si="7"/>
        <v>0</v>
      </c>
      <c r="AI28" s="370">
        <f>IF((D28&lt;&gt;""),VLOOKUP(D28,Data!$E$36:$H$53,4),)</f>
        <v>0</v>
      </c>
      <c r="AJ28" s="370">
        <f t="shared" si="8"/>
        <v>0</v>
      </c>
      <c r="AK28" s="371">
        <f t="shared" si="9"/>
        <v>0</v>
      </c>
      <c r="AL28" s="371">
        <f t="shared" si="10"/>
        <v>0</v>
      </c>
      <c r="AM28" s="372">
        <f t="shared" si="11"/>
        <v>0</v>
      </c>
      <c r="AN28" s="370">
        <f t="shared" si="12"/>
        <v>0</v>
      </c>
      <c r="AO28" s="373">
        <f t="shared" si="13"/>
        <v>0</v>
      </c>
      <c r="AP28" s="373">
        <f t="shared" si="14"/>
        <v>0</v>
      </c>
      <c r="AQ28" s="373">
        <f t="shared" si="15"/>
        <v>0</v>
      </c>
      <c r="AR28" s="373">
        <f t="shared" si="16"/>
        <v>0</v>
      </c>
      <c r="AS28" s="371">
        <f t="shared" si="17"/>
        <v>0</v>
      </c>
      <c r="AT28" s="371">
        <f t="shared" si="18"/>
        <v>0</v>
      </c>
      <c r="AU28" s="366">
        <f>IF(Data!$H$8="x",AV28,AW28)</f>
        <v>4.7499999999999982</v>
      </c>
      <c r="AV28" s="366">
        <f t="shared" si="19"/>
        <v>2.3749999999999991</v>
      </c>
      <c r="AW28" s="366">
        <f>AW27</f>
        <v>4.7499999999999982</v>
      </c>
      <c r="AX28" s="362" t="str">
        <f t="shared" si="20"/>
        <v>Zo</v>
      </c>
      <c r="AY28" s="371">
        <f>IF((R40="O1")*AND(R41&lt;&gt;""),VLOOKUP(R41,Barema!$Q$39:$R$65,2),)</f>
        <v>0</v>
      </c>
      <c r="AZ28" s="371" t="s">
        <v>21</v>
      </c>
      <c r="BA28" s="439"/>
    </row>
    <row r="29" spans="1:53" s="378" customFormat="1" x14ac:dyDescent="0.2">
      <c r="A29" s="309"/>
      <c r="B29" s="6" t="s">
        <v>175</v>
      </c>
      <c r="C29" s="311" t="s">
        <v>304</v>
      </c>
      <c r="D29" s="312"/>
      <c r="E29" s="312"/>
      <c r="F29" s="274"/>
      <c r="G29" s="274"/>
      <c r="H29" s="310"/>
      <c r="I29" s="310"/>
      <c r="J29" s="310"/>
      <c r="K29" s="310"/>
      <c r="L29" s="313">
        <f>(G29-F29)+(I29-H29)+(K29-J29)+AI29+AN29</f>
        <v>0</v>
      </c>
      <c r="M29" s="313">
        <f t="shared" si="21"/>
        <v>0</v>
      </c>
      <c r="N29" s="313">
        <f>IF(Feb!$H$46="x",AU29+Feb!$N$34,AU29)</f>
        <v>5.0666666666666647</v>
      </c>
      <c r="O29" s="337" t="str">
        <f t="shared" si="22"/>
        <v>-</v>
      </c>
      <c r="P29" s="314">
        <f t="shared" si="23"/>
        <v>5.0666666666666647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4"/>
        <v>0</v>
      </c>
      <c r="W29" s="313">
        <f t="shared" si="25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7"/>
        <v>0</v>
      </c>
      <c r="AD29" s="315">
        <f t="shared" si="6"/>
        <v>0</v>
      </c>
      <c r="AE29" s="316">
        <f t="shared" si="28"/>
        <v>0</v>
      </c>
      <c r="AF29" s="315">
        <f t="shared" si="29"/>
        <v>0</v>
      </c>
      <c r="AG29" s="316">
        <f t="shared" si="30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5.0666666666666647</v>
      </c>
      <c r="AV29" s="313">
        <f t="shared" si="19"/>
        <v>2.5333333333333323</v>
      </c>
      <c r="AW29" s="313">
        <f>IF(D29="V",AW28,(AW28+"07:36"))</f>
        <v>5.0666666666666647</v>
      </c>
      <c r="AX29" s="6" t="str">
        <f t="shared" si="20"/>
        <v>Ma</v>
      </c>
      <c r="AY29" s="4">
        <f>IF((R40="O2")*AND(R41&lt;&gt;""),VLOOKUP(R41,Barema!$T$39:$U$65,2),)</f>
        <v>0</v>
      </c>
      <c r="AZ29" s="4" t="s">
        <v>22</v>
      </c>
      <c r="BA29" s="102"/>
    </row>
    <row r="30" spans="1:53" s="378" customFormat="1" x14ac:dyDescent="0.2">
      <c r="A30" s="309"/>
      <c r="B30" s="6" t="s">
        <v>177</v>
      </c>
      <c r="C30" s="311" t="s">
        <v>305</v>
      </c>
      <c r="D30" s="312"/>
      <c r="E30" s="312"/>
      <c r="F30" s="274"/>
      <c r="G30" s="274"/>
      <c r="H30" s="310"/>
      <c r="I30" s="310"/>
      <c r="J30" s="310"/>
      <c r="K30" s="310"/>
      <c r="L30" s="313">
        <f>(G30-F30)+(I30-H30)+(K30-J30)+AI30+AN30</f>
        <v>0</v>
      </c>
      <c r="M30" s="313">
        <f t="shared" si="21"/>
        <v>0</v>
      </c>
      <c r="N30" s="313">
        <f>IF(Feb!$H$46="x",AU30+Feb!$N$34,AU30)</f>
        <v>5.3833333333333311</v>
      </c>
      <c r="O30" s="337" t="str">
        <f t="shared" si="22"/>
        <v>-</v>
      </c>
      <c r="P30" s="314">
        <f t="shared" si="23"/>
        <v>5.3833333333333311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4"/>
        <v>0</v>
      </c>
      <c r="W30" s="313">
        <f t="shared" si="25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7"/>
        <v>0</v>
      </c>
      <c r="AD30" s="315">
        <f t="shared" si="6"/>
        <v>0</v>
      </c>
      <c r="AE30" s="316">
        <f t="shared" si="28"/>
        <v>0</v>
      </c>
      <c r="AF30" s="315">
        <f t="shared" si="29"/>
        <v>0</v>
      </c>
      <c r="AG30" s="316">
        <f t="shared" si="30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5.3833333333333311</v>
      </c>
      <c r="AV30" s="313">
        <f t="shared" si="19"/>
        <v>2.6916666666666655</v>
      </c>
      <c r="AW30" s="313">
        <f>IF(D30="V",AW29,(AW29+"07:36"))</f>
        <v>5.3833333333333311</v>
      </c>
      <c r="AX30" s="6" t="str">
        <f t="shared" si="20"/>
        <v>Di</v>
      </c>
      <c r="AY30" s="4">
        <f>IF((R40="O2ir")*AND(R41&lt;&gt;""),VLOOKUP(R41,Barema!$AR$39:$AS$65,2),)</f>
        <v>0</v>
      </c>
      <c r="AZ30" s="4" t="s">
        <v>30</v>
      </c>
      <c r="BA30" s="102"/>
    </row>
    <row r="31" spans="1:53" s="378" customFormat="1" x14ac:dyDescent="0.2">
      <c r="A31" s="309"/>
      <c r="B31" s="6" t="s">
        <v>179</v>
      </c>
      <c r="C31" s="311" t="s">
        <v>306</v>
      </c>
      <c r="D31" s="312"/>
      <c r="E31" s="312"/>
      <c r="F31" s="274"/>
      <c r="G31" s="274"/>
      <c r="H31" s="310"/>
      <c r="I31" s="310"/>
      <c r="J31" s="310"/>
      <c r="K31" s="310"/>
      <c r="L31" s="313">
        <f>(G31-F31)+(I31-H31)+(K31-J31)+AI31+AN31</f>
        <v>0</v>
      </c>
      <c r="M31" s="313">
        <f>M30+L31</f>
        <v>0</v>
      </c>
      <c r="N31" s="313">
        <f>IF(Feb!$H$46="x",AU31+Feb!$N$34,AU31)</f>
        <v>5.6999999999999975</v>
      </c>
      <c r="O31" s="337" t="str">
        <f t="shared" si="22"/>
        <v>-</v>
      </c>
      <c r="P31" s="314">
        <f t="shared" si="23"/>
        <v>5.6999999999999975</v>
      </c>
      <c r="Q31" s="312">
        <f t="shared" si="0"/>
        <v>0</v>
      </c>
      <c r="R31" s="312">
        <f t="shared" si="1"/>
        <v>0</v>
      </c>
      <c r="S31" s="312">
        <f t="shared" si="2"/>
        <v>0</v>
      </c>
      <c r="T31" s="312">
        <f t="shared" si="3"/>
        <v>0</v>
      </c>
      <c r="U31" s="313">
        <f>IF(D31="F",L31,0)</f>
        <v>0</v>
      </c>
      <c r="V31" s="313">
        <f t="shared" si="24"/>
        <v>0</v>
      </c>
      <c r="W31" s="313">
        <f t="shared" si="25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7"/>
        <v>0</v>
      </c>
      <c r="AD31" s="315">
        <f t="shared" si="6"/>
        <v>0</v>
      </c>
      <c r="AE31" s="316">
        <f t="shared" si="28"/>
        <v>0</v>
      </c>
      <c r="AF31" s="315">
        <f t="shared" si="29"/>
        <v>0</v>
      </c>
      <c r="AG31" s="316">
        <f t="shared" si="30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5.6999999999999975</v>
      </c>
      <c r="AV31" s="313">
        <f t="shared" si="19"/>
        <v>2.8499999999999988</v>
      </c>
      <c r="AW31" s="313">
        <f>IF(D31="V",AW30,(AW30+"07:36"))</f>
        <v>5.6999999999999975</v>
      </c>
      <c r="AX31" s="6" t="str">
        <f t="shared" si="20"/>
        <v>Wo</v>
      </c>
      <c r="AY31" s="4">
        <f>IF((R40="O3")*AND(R41&lt;&gt;""),VLOOKUP(R41,Barema!$W$39:$X$65,2),)</f>
        <v>40663.03</v>
      </c>
      <c r="AZ31" s="4" t="s">
        <v>23</v>
      </c>
      <c r="BA31" s="102"/>
    </row>
    <row r="32" spans="1:53" s="378" customFormat="1" x14ac:dyDescent="0.2">
      <c r="A32" s="309"/>
      <c r="B32" s="6" t="s">
        <v>167</v>
      </c>
      <c r="C32" s="311" t="s">
        <v>307</v>
      </c>
      <c r="D32" s="312"/>
      <c r="E32" s="312"/>
      <c r="F32" s="274"/>
      <c r="G32" s="274"/>
      <c r="H32" s="310"/>
      <c r="I32" s="310"/>
      <c r="J32" s="310"/>
      <c r="K32" s="310"/>
      <c r="L32" s="313">
        <f>(G32-F32)+(I32-H32)+(K32-J32)+AI32+AN32</f>
        <v>0</v>
      </c>
      <c r="M32" s="313">
        <f>M31+L32</f>
        <v>0</v>
      </c>
      <c r="N32" s="313">
        <f>IF(Feb!$H$46="x",AU32+Feb!$N$34,AU32)</f>
        <v>6.0166666666666639</v>
      </c>
      <c r="O32" s="337" t="str">
        <f t="shared" si="22"/>
        <v>-</v>
      </c>
      <c r="P32" s="314">
        <f t="shared" si="23"/>
        <v>6.0166666666666639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13">
        <f>IF(D32="F",L32,0)</f>
        <v>0</v>
      </c>
      <c r="V32" s="313">
        <f t="shared" si="24"/>
        <v>0</v>
      </c>
      <c r="W32" s="313">
        <f t="shared" si="25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7"/>
        <v>0</v>
      </c>
      <c r="AD32" s="315">
        <f t="shared" si="6"/>
        <v>0</v>
      </c>
      <c r="AE32" s="316">
        <f t="shared" si="28"/>
        <v>0</v>
      </c>
      <c r="AF32" s="315">
        <f t="shared" si="29"/>
        <v>0</v>
      </c>
      <c r="AG32" s="316">
        <f t="shared" si="30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6.0166666666666639</v>
      </c>
      <c r="AV32" s="313">
        <f t="shared" si="19"/>
        <v>3.008333333333332</v>
      </c>
      <c r="AW32" s="313">
        <f>IF(D32="V",AW31,(AW31+"07:36"))</f>
        <v>6.0166666666666639</v>
      </c>
      <c r="AX32" s="6" t="str">
        <f t="shared" si="20"/>
        <v>Do</v>
      </c>
      <c r="AY32" s="4">
        <f>IF((R40="O3ir")*AND(R41&lt;&gt;""),VLOOKUP(R41,Barema!$AU$39:$AV$65,2),)</f>
        <v>0</v>
      </c>
      <c r="AZ32" s="4" t="s">
        <v>31</v>
      </c>
      <c r="BA32" s="102"/>
    </row>
    <row r="33" spans="1:54" s="378" customFormat="1" x14ac:dyDescent="0.2">
      <c r="A33" s="309"/>
      <c r="B33" s="6" t="s">
        <v>169</v>
      </c>
      <c r="C33" s="311" t="s">
        <v>308</v>
      </c>
      <c r="D33" s="312"/>
      <c r="E33" s="312"/>
      <c r="F33" s="274"/>
      <c r="G33" s="274"/>
      <c r="H33" s="310"/>
      <c r="I33" s="310"/>
      <c r="J33" s="310"/>
      <c r="K33" s="310"/>
      <c r="L33" s="313">
        <f>(G33-F33)+(I33-H33)+(K33-J33)+AI33+AN33</f>
        <v>0</v>
      </c>
      <c r="M33" s="313">
        <f t="shared" si="21"/>
        <v>0</v>
      </c>
      <c r="N33" s="313">
        <f>IF(Feb!$H$46="x",AU33+Feb!$N$34,AU33)</f>
        <v>6.3333333333333304</v>
      </c>
      <c r="O33" s="337" t="str">
        <f t="shared" si="22"/>
        <v>-</v>
      </c>
      <c r="P33" s="314">
        <f t="shared" si="23"/>
        <v>6.3333333333333304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13">
        <f>IF(D33="F",L33,0)</f>
        <v>0</v>
      </c>
      <c r="V33" s="313">
        <f t="shared" si="24"/>
        <v>0</v>
      </c>
      <c r="W33" s="313">
        <f t="shared" si="25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7"/>
        <v>0</v>
      </c>
      <c r="AD33" s="315">
        <f t="shared" si="6"/>
        <v>0</v>
      </c>
      <c r="AE33" s="316">
        <f t="shared" si="28"/>
        <v>0</v>
      </c>
      <c r="AF33" s="315">
        <f t="shared" si="29"/>
        <v>0</v>
      </c>
      <c r="AG33" s="316">
        <f t="shared" si="30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6.3333333333333304</v>
      </c>
      <c r="AV33" s="313">
        <f t="shared" si="19"/>
        <v>3.1666666666666652</v>
      </c>
      <c r="AW33" s="313">
        <f>IF(D33="V",AW32,(AW32+"07:36"))</f>
        <v>6.3333333333333304</v>
      </c>
      <c r="AX33" s="6" t="str">
        <f t="shared" si="20"/>
        <v>Vr</v>
      </c>
      <c r="AY33" s="4">
        <f>IF((R40="O4")*AND(R41&lt;&gt;""),VLOOKUP(R41,Barema!$Z$39:$AA$65,2),)</f>
        <v>0</v>
      </c>
      <c r="AZ33" s="4" t="s">
        <v>24</v>
      </c>
      <c r="BA33" s="102"/>
    </row>
    <row r="34" spans="1:54" s="376" customFormat="1" x14ac:dyDescent="0.2">
      <c r="A34" s="374"/>
      <c r="B34" s="362" t="s">
        <v>171</v>
      </c>
      <c r="C34" s="363" t="s">
        <v>309</v>
      </c>
      <c r="D34" s="364"/>
      <c r="E34" s="364"/>
      <c r="F34" s="365"/>
      <c r="G34" s="365"/>
      <c r="H34" s="365"/>
      <c r="I34" s="365"/>
      <c r="J34" s="365"/>
      <c r="K34" s="365"/>
      <c r="L34" s="366">
        <f>(G34-F34)+(I34-H34)+(K34-J34)</f>
        <v>0</v>
      </c>
      <c r="M34" s="366">
        <f t="shared" si="21"/>
        <v>0</v>
      </c>
      <c r="N34" s="366">
        <f>IF(Feb!$H$46="x",AU34+Feb!$N$34,AU34)</f>
        <v>6.3333333333333304</v>
      </c>
      <c r="O34" s="377" t="str">
        <f t="shared" si="22"/>
        <v>-</v>
      </c>
      <c r="P34" s="367">
        <f t="shared" si="23"/>
        <v>6.3333333333333304</v>
      </c>
      <c r="Q34" s="364">
        <f t="shared" si="0"/>
        <v>0</v>
      </c>
      <c r="R34" s="364">
        <f t="shared" si="1"/>
        <v>0</v>
      </c>
      <c r="S34" s="364">
        <f t="shared" si="2"/>
        <v>0</v>
      </c>
      <c r="T34" s="364">
        <f t="shared" si="3"/>
        <v>0</v>
      </c>
      <c r="U34" s="366">
        <f>L34</f>
        <v>0</v>
      </c>
      <c r="V34" s="366">
        <f t="shared" si="24"/>
        <v>0</v>
      </c>
      <c r="W34" s="366">
        <f t="shared" si="25"/>
        <v>0</v>
      </c>
      <c r="X34" s="364"/>
      <c r="Y34" s="365"/>
      <c r="Z34" s="365"/>
      <c r="AA34" s="368">
        <f t="shared" si="4"/>
        <v>0</v>
      </c>
      <c r="AB34" s="368">
        <f t="shared" si="5"/>
        <v>0</v>
      </c>
      <c r="AC34" s="368">
        <f t="shared" si="27"/>
        <v>0</v>
      </c>
      <c r="AD34" s="368">
        <f t="shared" si="6"/>
        <v>0</v>
      </c>
      <c r="AE34" s="369">
        <f t="shared" si="28"/>
        <v>0</v>
      </c>
      <c r="AF34" s="368">
        <f t="shared" si="29"/>
        <v>0</v>
      </c>
      <c r="AG34" s="369">
        <f t="shared" si="30"/>
        <v>0</v>
      </c>
      <c r="AH34" s="368">
        <f t="shared" si="7"/>
        <v>0</v>
      </c>
      <c r="AI34" s="370">
        <f>IF((D34&lt;&gt;""),VLOOKUP(D34,Data!$E$36:$H$53,4),)</f>
        <v>0</v>
      </c>
      <c r="AJ34" s="370">
        <f t="shared" si="8"/>
        <v>0</v>
      </c>
      <c r="AK34" s="371">
        <f t="shared" si="9"/>
        <v>0</v>
      </c>
      <c r="AL34" s="371">
        <f t="shared" si="10"/>
        <v>0</v>
      </c>
      <c r="AM34" s="372">
        <f t="shared" si="11"/>
        <v>0</v>
      </c>
      <c r="AN34" s="370">
        <f t="shared" si="12"/>
        <v>0</v>
      </c>
      <c r="AO34" s="373">
        <f t="shared" si="13"/>
        <v>0</v>
      </c>
      <c r="AP34" s="373">
        <f t="shared" si="14"/>
        <v>0</v>
      </c>
      <c r="AQ34" s="373">
        <f t="shared" si="15"/>
        <v>0</v>
      </c>
      <c r="AR34" s="373">
        <f t="shared" si="16"/>
        <v>0</v>
      </c>
      <c r="AS34" s="371">
        <f t="shared" si="17"/>
        <v>0</v>
      </c>
      <c r="AT34" s="371">
        <f t="shared" si="18"/>
        <v>0</v>
      </c>
      <c r="AU34" s="366">
        <f>IF(Data!$H$8="x",AV34,AW34)</f>
        <v>6.3333333333333304</v>
      </c>
      <c r="AV34" s="366">
        <f t="shared" si="19"/>
        <v>3.1666666666666652</v>
      </c>
      <c r="AW34" s="366">
        <f>AW33</f>
        <v>6.3333333333333304</v>
      </c>
      <c r="AX34" s="362" t="str">
        <f t="shared" si="20"/>
        <v>Za</v>
      </c>
      <c r="AY34" s="371">
        <f>IF((R40="O4bis")*AND(R41&lt;&gt;""),VLOOKUP(R41,Barema!$BG$39:$BH$65,2),)</f>
        <v>0</v>
      </c>
      <c r="AZ34" s="371" t="s">
        <v>35</v>
      </c>
      <c r="BA34" s="439"/>
    </row>
    <row r="35" spans="1:54" s="376" customFormat="1" x14ac:dyDescent="0.2">
      <c r="A35" s="374"/>
      <c r="B35" s="362" t="s">
        <v>173</v>
      </c>
      <c r="C35" s="363" t="s">
        <v>310</v>
      </c>
      <c r="D35" s="364"/>
      <c r="E35" s="364"/>
      <c r="F35" s="365"/>
      <c r="G35" s="365"/>
      <c r="H35" s="365"/>
      <c r="I35" s="365"/>
      <c r="J35" s="365"/>
      <c r="K35" s="365"/>
      <c r="L35" s="366">
        <f>(G35-F35)+(I35-H35)+(K35-J35)</f>
        <v>0</v>
      </c>
      <c r="M35" s="366">
        <f t="shared" si="21"/>
        <v>0</v>
      </c>
      <c r="N35" s="366">
        <f>IF(Feb!$H$46="x",AU35+Feb!$N$34,AU35)</f>
        <v>6.3333333333333304</v>
      </c>
      <c r="O35" s="377" t="str">
        <f t="shared" si="22"/>
        <v>-</v>
      </c>
      <c r="P35" s="367">
        <f t="shared" si="23"/>
        <v>6.3333333333333304</v>
      </c>
      <c r="Q35" s="364">
        <f t="shared" si="0"/>
        <v>0</v>
      </c>
      <c r="R35" s="364">
        <f t="shared" si="1"/>
        <v>0</v>
      </c>
      <c r="S35" s="364">
        <f t="shared" si="2"/>
        <v>0</v>
      </c>
      <c r="T35" s="364">
        <f t="shared" si="3"/>
        <v>0</v>
      </c>
      <c r="U35" s="366">
        <f>L35</f>
        <v>0</v>
      </c>
      <c r="V35" s="366">
        <f t="shared" si="24"/>
        <v>0</v>
      </c>
      <c r="W35" s="366">
        <f t="shared" si="25"/>
        <v>0</v>
      </c>
      <c r="X35" s="364"/>
      <c r="Y35" s="365"/>
      <c r="Z35" s="365"/>
      <c r="AA35" s="368">
        <f t="shared" si="4"/>
        <v>0</v>
      </c>
      <c r="AB35" s="368">
        <f t="shared" si="5"/>
        <v>0</v>
      </c>
      <c r="AC35" s="368">
        <f t="shared" si="27"/>
        <v>0</v>
      </c>
      <c r="AD35" s="368">
        <f t="shared" si="6"/>
        <v>0</v>
      </c>
      <c r="AE35" s="369">
        <f t="shared" si="28"/>
        <v>0</v>
      </c>
      <c r="AF35" s="368">
        <f t="shared" si="29"/>
        <v>0</v>
      </c>
      <c r="AG35" s="369">
        <f t="shared" si="30"/>
        <v>0</v>
      </c>
      <c r="AH35" s="368">
        <f t="shared" si="7"/>
        <v>0</v>
      </c>
      <c r="AI35" s="370">
        <f>IF((D35&lt;&gt;""),VLOOKUP(D35,Data!$E$36:$H$53,4),)</f>
        <v>0</v>
      </c>
      <c r="AJ35" s="370">
        <f t="shared" si="8"/>
        <v>0</v>
      </c>
      <c r="AK35" s="371">
        <f t="shared" si="9"/>
        <v>0</v>
      </c>
      <c r="AL35" s="371">
        <f t="shared" si="10"/>
        <v>0</v>
      </c>
      <c r="AM35" s="372">
        <f t="shared" si="11"/>
        <v>0</v>
      </c>
      <c r="AN35" s="370">
        <f t="shared" si="12"/>
        <v>0</v>
      </c>
      <c r="AO35" s="373">
        <f t="shared" si="13"/>
        <v>0</v>
      </c>
      <c r="AP35" s="373">
        <f t="shared" si="14"/>
        <v>0</v>
      </c>
      <c r="AQ35" s="373">
        <f t="shared" si="15"/>
        <v>0</v>
      </c>
      <c r="AR35" s="373">
        <f t="shared" si="16"/>
        <v>0</v>
      </c>
      <c r="AS35" s="371">
        <f t="shared" si="17"/>
        <v>0</v>
      </c>
      <c r="AT35" s="371">
        <f t="shared" si="18"/>
        <v>0</v>
      </c>
      <c r="AU35" s="366">
        <f>IF(Data!$H$8="x",AV35,AW35)</f>
        <v>6.3333333333333304</v>
      </c>
      <c r="AV35" s="366">
        <f t="shared" si="19"/>
        <v>3.1666666666666652</v>
      </c>
      <c r="AW35" s="366">
        <f>AW34</f>
        <v>6.3333333333333304</v>
      </c>
      <c r="AX35" s="362" t="str">
        <f t="shared" si="20"/>
        <v>Zo</v>
      </c>
      <c r="AY35" s="371">
        <f>IF((R40="O4bis-ir")*AND(R41&lt;&gt;""),VLOOKUP(R41,Barema!$AO$39:$AP$65,2),)</f>
        <v>0</v>
      </c>
      <c r="AZ35" s="371" t="s">
        <v>29</v>
      </c>
      <c r="BA35" s="439"/>
    </row>
    <row r="36" spans="1:54" s="378" customFormat="1" x14ac:dyDescent="0.2">
      <c r="A36" s="309"/>
      <c r="B36" s="6" t="s">
        <v>175</v>
      </c>
      <c r="C36" s="311" t="s">
        <v>311</v>
      </c>
      <c r="D36" s="312"/>
      <c r="E36" s="312"/>
      <c r="F36" s="274"/>
      <c r="G36" s="274"/>
      <c r="H36" s="310"/>
      <c r="I36" s="310"/>
      <c r="J36" s="310"/>
      <c r="K36" s="310"/>
      <c r="L36" s="313">
        <f>(G36-F36)+(I36-H36)+(K36-J36)+AI36+AN36</f>
        <v>0</v>
      </c>
      <c r="M36" s="313">
        <f t="shared" si="21"/>
        <v>0</v>
      </c>
      <c r="N36" s="313">
        <f>IF(Feb!$H$46="x",AU36+Feb!$N$34,AU36)</f>
        <v>6.6499999999999968</v>
      </c>
      <c r="O36" s="337" t="str">
        <f t="shared" si="22"/>
        <v>-</v>
      </c>
      <c r="P36" s="314">
        <f t="shared" si="23"/>
        <v>6.6499999999999968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13">
        <f>IF(D36="F",L36,0)</f>
        <v>0</v>
      </c>
      <c r="V36" s="313">
        <f t="shared" si="24"/>
        <v>0</v>
      </c>
      <c r="W36" s="313">
        <f t="shared" si="25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7"/>
        <v>0</v>
      </c>
      <c r="AD36" s="315">
        <f t="shared" si="6"/>
        <v>0</v>
      </c>
      <c r="AE36" s="316">
        <f t="shared" si="28"/>
        <v>0</v>
      </c>
      <c r="AF36" s="315">
        <f t="shared" si="29"/>
        <v>0</v>
      </c>
      <c r="AG36" s="316">
        <f t="shared" si="30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6.6499999999999968</v>
      </c>
      <c r="AV36" s="313">
        <f t="shared" si="19"/>
        <v>3.3249999999999984</v>
      </c>
      <c r="AW36" s="313">
        <f>IF(D36="V",AW35,(AW35+"07:36"))</f>
        <v>6.6499999999999968</v>
      </c>
      <c r="AX36" s="6" t="str">
        <f t="shared" si="20"/>
        <v>Ma</v>
      </c>
      <c r="AY36" s="4">
        <f>IF((R40="O4ir")*AND(R41&lt;&gt;""),VLOOKUP(R41,Barema!$AX$39:$AY$65,2),)</f>
        <v>0</v>
      </c>
      <c r="AZ36" s="4" t="s">
        <v>32</v>
      </c>
      <c r="BA36" s="102"/>
    </row>
    <row r="37" spans="1:54" s="378" customFormat="1" x14ac:dyDescent="0.2">
      <c r="A37" s="309"/>
      <c r="B37" s="6" t="s">
        <v>177</v>
      </c>
      <c r="C37" s="311" t="s">
        <v>312</v>
      </c>
      <c r="D37" s="312"/>
      <c r="E37" s="312"/>
      <c r="F37" s="274"/>
      <c r="G37" s="274"/>
      <c r="H37" s="310"/>
      <c r="I37" s="310"/>
      <c r="J37" s="310"/>
      <c r="K37" s="310"/>
      <c r="L37" s="313">
        <f>(G37-F37)+(I37-H37)+(K37-J37)+AI37+AN37</f>
        <v>0</v>
      </c>
      <c r="M37" s="313">
        <f t="shared" si="21"/>
        <v>0</v>
      </c>
      <c r="N37" s="313">
        <f>IF(Feb!$H$46="x",AU37+Feb!$N$34,AU37)</f>
        <v>6.9666666666666632</v>
      </c>
      <c r="O37" s="337" t="str">
        <f t="shared" si="22"/>
        <v>-</v>
      </c>
      <c r="P37" s="314">
        <f t="shared" si="23"/>
        <v>6.9666666666666632</v>
      </c>
      <c r="Q37" s="312">
        <f t="shared" si="0"/>
        <v>0</v>
      </c>
      <c r="R37" s="312">
        <f t="shared" si="1"/>
        <v>0</v>
      </c>
      <c r="S37" s="312">
        <f t="shared" si="2"/>
        <v>0</v>
      </c>
      <c r="T37" s="312">
        <f t="shared" si="3"/>
        <v>0</v>
      </c>
      <c r="U37" s="313">
        <f>IF(D37="F",L37,0)</f>
        <v>0</v>
      </c>
      <c r="V37" s="313">
        <f t="shared" si="24"/>
        <v>0</v>
      </c>
      <c r="W37" s="313">
        <f t="shared" si="25"/>
        <v>0</v>
      </c>
      <c r="X37" s="312"/>
      <c r="Y37" s="310"/>
      <c r="Z37" s="310"/>
      <c r="AA37" s="315">
        <f t="shared" si="4"/>
        <v>0</v>
      </c>
      <c r="AB37" s="315">
        <f t="shared" si="5"/>
        <v>0</v>
      </c>
      <c r="AC37" s="315">
        <f t="shared" si="27"/>
        <v>0</v>
      </c>
      <c r="AD37" s="315">
        <f t="shared" si="6"/>
        <v>0</v>
      </c>
      <c r="AE37" s="316">
        <f t="shared" si="28"/>
        <v>0</v>
      </c>
      <c r="AF37" s="315">
        <f t="shared" si="29"/>
        <v>0</v>
      </c>
      <c r="AG37" s="316">
        <f t="shared" si="30"/>
        <v>0</v>
      </c>
      <c r="AH37" s="315">
        <f t="shared" si="7"/>
        <v>0</v>
      </c>
      <c r="AI37" s="123">
        <f>IF((D37&lt;&gt;""),VLOOKUP(D37,Data!$E$36:$H$53,4),)</f>
        <v>0</v>
      </c>
      <c r="AJ37" s="123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11"/>
        <v>0</v>
      </c>
      <c r="AN37" s="123">
        <f t="shared" si="12"/>
        <v>0</v>
      </c>
      <c r="AO37" s="317">
        <f t="shared" si="13"/>
        <v>0</v>
      </c>
      <c r="AP37" s="317">
        <f t="shared" si="14"/>
        <v>0</v>
      </c>
      <c r="AQ37" s="317">
        <f t="shared" si="15"/>
        <v>0</v>
      </c>
      <c r="AR37" s="317">
        <f t="shared" si="16"/>
        <v>0</v>
      </c>
      <c r="AS37" s="4">
        <f t="shared" si="17"/>
        <v>0</v>
      </c>
      <c r="AT37" s="4">
        <f t="shared" si="18"/>
        <v>0</v>
      </c>
      <c r="AU37" s="313">
        <f>IF(Data!$H$8="x",AV37,AW37)</f>
        <v>6.9666666666666632</v>
      </c>
      <c r="AV37" s="313">
        <f t="shared" si="19"/>
        <v>3.4833333333333316</v>
      </c>
      <c r="AW37" s="313">
        <f>IF(D37="V",AW36,(AW36+"07:36"))</f>
        <v>6.9666666666666632</v>
      </c>
      <c r="AX37" s="6" t="str">
        <f t="shared" si="20"/>
        <v>Di</v>
      </c>
      <c r="AY37" s="4">
        <f>IF((R40="O5")*AND(R41&lt;&gt;""),VLOOKUP(R41,Barema!$AC$39:$AD$65,2),)</f>
        <v>0</v>
      </c>
      <c r="AZ37" s="4" t="s">
        <v>25</v>
      </c>
      <c r="BA37" s="102"/>
    </row>
    <row r="38" spans="1:54" x14ac:dyDescent="0.2">
      <c r="B38" s="303"/>
      <c r="C38" s="303"/>
      <c r="D38" s="301"/>
      <c r="E38" s="301"/>
      <c r="F38" s="303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5"/>
      <c r="V38" s="305"/>
      <c r="W38" s="305"/>
      <c r="X38" s="305"/>
      <c r="Y38" s="305"/>
      <c r="Z38" s="305"/>
      <c r="AA38" s="305"/>
      <c r="AB38" s="299">
        <f t="shared" ref="AB38:AI38" si="31">SUM(AA7:AA37)</f>
        <v>0</v>
      </c>
      <c r="AC38" s="299">
        <f t="shared" si="31"/>
        <v>0</v>
      </c>
      <c r="AD38" s="299">
        <f t="shared" si="31"/>
        <v>0</v>
      </c>
      <c r="AE38" s="299">
        <f t="shared" si="31"/>
        <v>0</v>
      </c>
      <c r="AF38" s="299">
        <f t="shared" si="31"/>
        <v>0</v>
      </c>
      <c r="AG38" s="299">
        <f t="shared" si="31"/>
        <v>0</v>
      </c>
      <c r="AH38" s="299">
        <f t="shared" si="31"/>
        <v>0</v>
      </c>
      <c r="AI38" s="299">
        <f t="shared" si="31"/>
        <v>0</v>
      </c>
      <c r="AJ38" s="303"/>
      <c r="AK38" s="299">
        <f>SUM(AJ7:AJ37)</f>
        <v>0</v>
      </c>
      <c r="AL38" s="303"/>
      <c r="AM38" s="300">
        <f>SUM(AL7:AL37)+AT38</f>
        <v>0</v>
      </c>
      <c r="AN38" s="301"/>
      <c r="AO38" s="300"/>
      <c r="AP38" s="300">
        <f>SUM(AO7:AO37)</f>
        <v>0</v>
      </c>
      <c r="AQ38" s="300">
        <f>SUM(AP7:AP37)</f>
        <v>0</v>
      </c>
      <c r="AR38" s="300">
        <f>SUM(AQ7:AQ37)</f>
        <v>0</v>
      </c>
      <c r="AS38" s="300">
        <f>SUM(AR7:AR37)</f>
        <v>0</v>
      </c>
      <c r="AT38" s="300">
        <f>SUM(AS7:AS37)</f>
        <v>0</v>
      </c>
      <c r="AU38" s="300">
        <f>SUM(AT7:AT37)+AT38</f>
        <v>0</v>
      </c>
      <c r="AV38" s="301"/>
      <c r="AW38" s="301"/>
      <c r="AX38" s="303"/>
      <c r="AY38" s="4">
        <f>IF((R40="O5ir")*AND(R41&lt;&gt;""),VLOOKUP(R41,Barema!$BA$39:$BB$65,2),)</f>
        <v>0</v>
      </c>
      <c r="AZ38" s="4" t="s">
        <v>33</v>
      </c>
      <c r="BB38" s="4"/>
    </row>
    <row r="39" spans="1:54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32">IF((MINUTE(AB38)&gt;=30),(AB38+0.041666667),AB38)</f>
        <v>0</v>
      </c>
      <c r="AC39" s="123">
        <f t="shared" si="32"/>
        <v>0</v>
      </c>
      <c r="AD39" s="123">
        <f t="shared" si="32"/>
        <v>0</v>
      </c>
      <c r="AE39" s="123">
        <f t="shared" si="32"/>
        <v>0</v>
      </c>
      <c r="AF39" s="123">
        <f t="shared" si="32"/>
        <v>0</v>
      </c>
      <c r="AG39" s="123">
        <f t="shared" si="32"/>
        <v>0</v>
      </c>
      <c r="AH39" s="123">
        <f t="shared" si="32"/>
        <v>0</v>
      </c>
      <c r="AI39" s="123">
        <f t="shared" si="32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IF((R40="O6")*AND(R41&lt;&gt;""),VLOOKUP(R41,Barema!$AF$39:$AG$65,2),)</f>
        <v>0</v>
      </c>
      <c r="AZ39" s="4" t="s">
        <v>26</v>
      </c>
      <c r="BB39" s="4"/>
    </row>
    <row r="40" spans="1:54" x14ac:dyDescent="0.2">
      <c r="C40" s="42" t="s">
        <v>207</v>
      </c>
      <c r="D40" s="43"/>
      <c r="E40" s="43"/>
      <c r="F40" s="43"/>
      <c r="G40" s="44"/>
      <c r="H40" s="28">
        <f>Feb!$H$43</f>
        <v>36</v>
      </c>
      <c r="J40" s="9" t="s">
        <v>313</v>
      </c>
      <c r="K40" s="10"/>
      <c r="L40" s="11"/>
      <c r="M40" s="10"/>
      <c r="N40" s="10"/>
      <c r="O40" s="10"/>
      <c r="P40" s="11"/>
      <c r="Q40" s="11"/>
      <c r="R40" s="441" t="s">
        <v>23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3">IF(MINUTE(AB39)&gt;0,FLOOR(AB39,0.041666667),AB39)</f>
        <v>0</v>
      </c>
      <c r="AC40" s="123">
        <f t="shared" si="33"/>
        <v>0</v>
      </c>
      <c r="AD40" s="123">
        <f t="shared" si="33"/>
        <v>0</v>
      </c>
      <c r="AE40" s="123">
        <f t="shared" si="33"/>
        <v>0</v>
      </c>
      <c r="AF40" s="123">
        <f t="shared" si="33"/>
        <v>0</v>
      </c>
      <c r="AG40" s="123">
        <f t="shared" si="33"/>
        <v>0</v>
      </c>
      <c r="AH40" s="123">
        <f t="shared" si="33"/>
        <v>0</v>
      </c>
      <c r="AI40" s="123">
        <f t="shared" si="33"/>
        <v>0</v>
      </c>
      <c r="AK40" s="140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IF((R40="O6ir")*AND(R41&lt;&gt;""),VLOOKUP(R41,Barema!$BD$39:$BE$65,2),)</f>
        <v>0</v>
      </c>
      <c r="AZ40" s="4" t="s">
        <v>34</v>
      </c>
      <c r="BB40" s="4"/>
    </row>
    <row r="41" spans="1:54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314</v>
      </c>
      <c r="K41" s="13"/>
      <c r="L41" s="14"/>
      <c r="M41" s="13"/>
      <c r="N41" s="13"/>
      <c r="O41" s="13"/>
      <c r="P41" s="14"/>
      <c r="Q41" s="14"/>
      <c r="R41" s="443">
        <v>33</v>
      </c>
      <c r="S41" s="444"/>
      <c r="T41" s="328">
        <f>AY55</f>
        <v>40663.03</v>
      </c>
      <c r="U41" s="330"/>
      <c r="V41" s="331"/>
      <c r="W41" s="318"/>
      <c r="X41" s="318"/>
      <c r="Z41" s="1"/>
      <c r="AA41" s="1"/>
      <c r="AF41" s="88"/>
      <c r="AG41" s="18"/>
      <c r="AH41" s="10" t="s">
        <v>217</v>
      </c>
      <c r="AI41" s="10"/>
      <c r="AJ41" s="89"/>
      <c r="AK41" s="78" t="s">
        <v>219</v>
      </c>
      <c r="AL41" s="10"/>
      <c r="AM41" s="89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2"/>
    </row>
    <row r="42" spans="1:54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63"/>
      <c r="R42" s="1"/>
      <c r="S42" s="15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32"/>
      <c r="AG42" s="4"/>
      <c r="AH42" s="4">
        <f>X41*1.2434/1850</f>
        <v>0</v>
      </c>
      <c r="AI42" s="4"/>
      <c r="AJ42" s="33"/>
      <c r="AK42" s="15">
        <f>T41*AA40/1850</f>
        <v>46.648188415675676</v>
      </c>
      <c r="AL42" s="4" t="s">
        <v>218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54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E43" s="4" t="e">
        <f>M45*78</f>
        <v>#VALUE!</v>
      </c>
      <c r="AF43" s="32"/>
      <c r="AG43" s="62" t="s">
        <v>122</v>
      </c>
      <c r="AH43" s="4">
        <f>AH42*0.9645*AK49/100*1.45</f>
        <v>0</v>
      </c>
      <c r="AI43" s="4"/>
      <c r="AJ43" s="33"/>
      <c r="AK43" s="197">
        <f>(AK42*0.9645)*AK49/100</f>
        <v>20.921362643017424</v>
      </c>
      <c r="AL43" s="17" t="s">
        <v>223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IF((R40="HAU4")*AND(R41&lt;&gt;""),VLOOKUP(R41,Barema!$BJ$39:$BK$65,2),)</f>
        <v>0</v>
      </c>
      <c r="AZ43" s="17" t="s">
        <v>705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228</v>
      </c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53.5</v>
      </c>
      <c r="Z44" s="138"/>
      <c r="AB44" s="4">
        <f>COUNTIF(AK7:AK37,"2")</f>
        <v>0</v>
      </c>
      <c r="AE44" s="4" t="e">
        <f>M46*23</f>
        <v>#VALUE!</v>
      </c>
      <c r="AF44" s="38"/>
      <c r="AG44" s="17" t="s">
        <v>225</v>
      </c>
      <c r="AH44" s="17">
        <f>(W41*1.2434/1850)*0.009645*AK49</f>
        <v>0</v>
      </c>
      <c r="AI44" s="17"/>
      <c r="AJ44" s="40"/>
      <c r="AK44" s="4">
        <v>1.24</v>
      </c>
      <c r="AL44" s="4" t="s">
        <v>226</v>
      </c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54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4"/>
      <c r="O45" s="4"/>
      <c r="P45" s="1"/>
      <c r="Q45" s="1"/>
      <c r="R45" s="1"/>
      <c r="S45" s="15"/>
      <c r="T45" s="80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Y45" s="17">
        <f>IF((R40="BAGP2")*AND(R41&lt;&gt;""),VLOOKUP(R41,Barema!$T$5:$U$31,2),)</f>
        <v>0</v>
      </c>
      <c r="AZ45" s="4" t="s">
        <v>711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"/>
      <c r="S46" s="15"/>
      <c r="T46" s="80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 t="s">
        <v>229</v>
      </c>
      <c r="AC46" s="4"/>
      <c r="AD46" s="4"/>
      <c r="AE46" s="4"/>
      <c r="AG46" s="4"/>
      <c r="AH46" s="4"/>
      <c r="AI46" s="4"/>
      <c r="AK46" s="4">
        <v>2.48</v>
      </c>
      <c r="AL46" s="4" t="s">
        <v>162</v>
      </c>
      <c r="AY46" s="17">
        <f>IF((R40="BAGP3")*AND(R41&lt;&gt;""),VLOOKUP(R41,Barema!$W$5:$X$31,2),)</f>
        <v>0</v>
      </c>
      <c r="AZ46" s="4" t="s">
        <v>712</v>
      </c>
      <c r="BB46" s="2"/>
    </row>
    <row r="47" spans="1:54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L47" s="103"/>
      <c r="M47" s="65" t="str">
        <f>IF(Jan!AH49=2,COUNTIF(S7:S37,"1"),"")</f>
        <v/>
      </c>
      <c r="N47" s="4"/>
      <c r="O47" s="4"/>
      <c r="P47" s="4"/>
      <c r="Q47" s="4"/>
      <c r="R47" s="19"/>
      <c r="S47" s="4"/>
      <c r="T47" s="80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233</v>
      </c>
      <c r="AY47" s="17">
        <f>IF((R40="BAGP4")*AND(R41&lt;&gt;""),VLOOKUP(R41,Barema!$BJ$39:$BK$65,2),)</f>
        <v>0</v>
      </c>
      <c r="AZ47" s="4" t="s">
        <v>713</v>
      </c>
      <c r="BB47" s="2"/>
    </row>
    <row r="48" spans="1:54" x14ac:dyDescent="0.2">
      <c r="C48" s="24" t="s">
        <v>234</v>
      </c>
      <c r="G48" s="92"/>
      <c r="H48" s="92" t="s">
        <v>690</v>
      </c>
      <c r="J48" s="15" t="str">
        <f>IF(Jan!AH49=2,"Morgenmaal","")</f>
        <v/>
      </c>
      <c r="L48" s="103"/>
      <c r="M48" s="65" t="str">
        <f>IF(Jan!AH49=2,COUNTIF(T7:T37,"1"),"")</f>
        <v/>
      </c>
      <c r="N48" s="4"/>
      <c r="O48" s="4"/>
      <c r="P48" s="4"/>
      <c r="Q48" s="4"/>
      <c r="R48" s="19"/>
      <c r="S48" s="4"/>
      <c r="T48" s="80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VLOOKUP(AS48,Data!$F$80:$H$91,3)</f>
        <v>53.5</v>
      </c>
      <c r="AL48" s="4" t="s">
        <v>235</v>
      </c>
      <c r="AP48" s="256">
        <f>T41*Z40</f>
        <v>86299.148568999997</v>
      </c>
      <c r="AQ48" s="2">
        <f>AP48*0.075</f>
        <v>6472.4361426749992</v>
      </c>
      <c r="AR48" s="2">
        <f>AP48*0.0355</f>
        <v>3063.6197741994997</v>
      </c>
      <c r="AS48" s="142">
        <f>AP48-AQ48-AR48</f>
        <v>76763.092652125502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4"/>
      <c r="L49" s="4"/>
      <c r="M49" s="141">
        <f>IF(AND(G48="x",O37="+",AB47&gt;=0),AB51,0)</f>
        <v>0</v>
      </c>
      <c r="N49" s="4" t="s">
        <v>214</v>
      </c>
      <c r="O49" s="54"/>
      <c r="P49" s="1"/>
      <c r="Q49" s="1"/>
      <c r="R49" s="1"/>
      <c r="S49" s="15"/>
      <c r="T49" s="80"/>
      <c r="U49" s="325">
        <f>(M49*AK43/0.041666667)</f>
        <v>0</v>
      </c>
      <c r="V49" s="19" t="s">
        <v>215</v>
      </c>
      <c r="W49" s="106"/>
      <c r="X49" s="1"/>
      <c r="AB49" s="8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F50" s="4"/>
      <c r="G50" s="4"/>
      <c r="J50" s="15" t="s">
        <v>240</v>
      </c>
      <c r="K50" s="4"/>
      <c r="L50" s="4"/>
      <c r="M50" s="118">
        <f>AM38</f>
        <v>0</v>
      </c>
      <c r="N50" s="4" t="s">
        <v>241</v>
      </c>
      <c r="O50" s="80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B50" s="4">
        <f>AD47-AB49</f>
        <v>0</v>
      </c>
      <c r="AG50" s="4"/>
      <c r="AH50" s="4"/>
      <c r="AI50" s="4"/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F51" s="4"/>
      <c r="G51" s="133">
        <v>0</v>
      </c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G51" s="4" t="s">
        <v>153</v>
      </c>
      <c r="AH51" s="4">
        <f>AH42*0.00325*0.9645*AK49</f>
        <v>0</v>
      </c>
      <c r="AI51" s="4"/>
      <c r="AK51" s="62">
        <f>AK43/100*20</f>
        <v>4.1842725286034845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AK43/100*35</f>
        <v>7.3224769250560984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199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0.87172344345905939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F55" s="4"/>
      <c r="G55" s="121">
        <v>0</v>
      </c>
      <c r="H55" s="4"/>
      <c r="L55" s="70" t="s">
        <v>130</v>
      </c>
      <c r="M55" s="70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200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1.3947575095344951</v>
      </c>
      <c r="AL55" s="17" t="s">
        <v>251</v>
      </c>
      <c r="AM55" s="17"/>
      <c r="AN55" s="17"/>
      <c r="AO55" s="17"/>
      <c r="AP55" s="83"/>
      <c r="AY55" s="4">
        <f>SUM(AY7:AY53)</f>
        <v>40663.03</v>
      </c>
      <c r="BB55" s="2"/>
    </row>
    <row r="56" spans="3:54" x14ac:dyDescent="0.2">
      <c r="C56" s="166" t="s">
        <v>243</v>
      </c>
      <c r="E56" s="4"/>
      <c r="F56" s="1"/>
      <c r="G56" s="4"/>
      <c r="H56" s="4"/>
      <c r="W56" s="106"/>
      <c r="X56" s="1"/>
      <c r="BB56" s="2"/>
    </row>
    <row r="60" spans="3:54" x14ac:dyDescent="0.2">
      <c r="J60" s="4"/>
      <c r="K60" s="4"/>
      <c r="L60" s="70"/>
      <c r="M60" s="70"/>
      <c r="N60" s="4"/>
      <c r="R60" s="4"/>
      <c r="S60" s="1"/>
      <c r="T60" s="1"/>
      <c r="U60" s="4"/>
      <c r="V60" s="4"/>
    </row>
    <row r="61" spans="3:54" x14ac:dyDescent="0.2">
      <c r="E61" s="4"/>
      <c r="F61" s="1"/>
      <c r="G61" s="4"/>
      <c r="H61" s="4"/>
      <c r="I61" s="4"/>
      <c r="J61" s="4"/>
      <c r="K61" s="4"/>
      <c r="L61" s="70"/>
      <c r="M61" s="70"/>
      <c r="N61" s="4"/>
      <c r="R61" s="4"/>
      <c r="S61" s="1"/>
      <c r="T61" s="1"/>
      <c r="U61" s="4"/>
      <c r="V61" s="4"/>
      <c r="W61" s="54"/>
      <c r="X61" s="2"/>
    </row>
    <row r="62" spans="3:54" x14ac:dyDescent="0.2">
      <c r="E62" s="4"/>
      <c r="F62" s="1"/>
      <c r="G62" s="4"/>
      <c r="H62" s="4"/>
      <c r="I62" s="4"/>
      <c r="W62" s="62"/>
      <c r="X62" s="4"/>
    </row>
  </sheetData>
  <sheetProtection algorithmName="SHA-512" hashValue="KUgnuggmIUf1kdat2NjaMlCYu59ieHMG/9teVnS+mhtfoojaZIPhgLeil3JyCML2eUIyMED7gVuTPln0+yGApg==" saltValue="t4SlkBCbqpGrTf7HsYmNLw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>
    <pageSetUpPr fitToPage="1"/>
  </sheetPr>
  <dimension ref="A1:XFC60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710937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2.8554687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K4" s="4"/>
      <c r="L4" s="4"/>
      <c r="M4" s="259">
        <f>Mar!$G$55</f>
        <v>0</v>
      </c>
      <c r="P4" s="4" t="s">
        <v>111</v>
      </c>
      <c r="Q4" s="4"/>
      <c r="R4" s="4"/>
      <c r="S4" s="4"/>
      <c r="T4" s="4"/>
      <c r="U4" s="122">
        <f>IF(Mar!$H$48="x",Mar!$U$4,Mar!$G$51)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3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204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204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41" customFormat="1" x14ac:dyDescent="0.2">
      <c r="A7" s="340"/>
      <c r="B7" s="6" t="s">
        <v>179</v>
      </c>
      <c r="C7" s="311" t="s">
        <v>315</v>
      </c>
      <c r="D7" s="312"/>
      <c r="E7" s="312"/>
      <c r="F7" s="274"/>
      <c r="G7" s="274"/>
      <c r="H7" s="310"/>
      <c r="I7" s="310"/>
      <c r="J7" s="336"/>
      <c r="K7" s="336"/>
      <c r="L7" s="313">
        <f>(G7-F7)+(I7-H7)+(K7-J7)+AI7+AN7</f>
        <v>0</v>
      </c>
      <c r="M7" s="338">
        <f>IF(Mar!$H$48="x",L7+Mar!$M$37+M4,L7+M4)</f>
        <v>0</v>
      </c>
      <c r="N7" s="338">
        <f>IF(Mar!$H$48="x",AU7+Mar!$N$37,AU7)</f>
        <v>7.2833333333333297</v>
      </c>
      <c r="O7" s="337" t="str">
        <f>IF((M7-N7-U$4)&lt;0,"-","+")</f>
        <v>-</v>
      </c>
      <c r="P7" s="339">
        <f>ABS(M7-N7-U$4)</f>
        <v>7.2833333333333297</v>
      </c>
      <c r="Q7" s="312">
        <f t="shared" ref="Q7:Q36" si="0">AP7</f>
        <v>0</v>
      </c>
      <c r="R7" s="312">
        <f t="shared" ref="R7:R36" si="1">AQ7</f>
        <v>0</v>
      </c>
      <c r="S7" s="312">
        <f t="shared" ref="S7:S36" si="2">AR7</f>
        <v>0</v>
      </c>
      <c r="T7" s="312">
        <f t="shared" ref="T7:T36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6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 t="shared" ref="AM7:AM36" si="11">IF(D7="F",1,)+IF((D7="VB")*AND(((G7-F7)+(I7-H7)+(K7-J7))&gt;0),1,0)</f>
        <v>0</v>
      </c>
      <c r="AN7" s="123">
        <f t="shared" ref="AN7:AN36" si="12">IF((D7="VB")*AND(((G7-F7)+(I7-H7)+(K7-J7))=0),"07:36",0)</f>
        <v>0</v>
      </c>
      <c r="AO7" s="317">
        <f t="shared" ref="AO7:AO36" si="13">IF((F7&lt;=$AQ$2)*AND(G7&gt;=$AQ$3),1,)+IF((H7&lt;=$AQ$2)*AND(I7&gt;=$AQ$3),1,)+IF((J7&lt;=$AQ$2)*AND(K7&gt;=$AQ$3),1,)</f>
        <v>0</v>
      </c>
      <c r="AP7" s="317">
        <f t="shared" ref="AP7:AP36" si="14">IF((F7&lt;=$AR$2)*AND(G7&gt;=$AR$3),1,)+IF((H7&lt;=$AR$2)*AND(I7&gt;=$AR$3),1,)+IF((J7&lt;=$AR$2)*AND(K7&gt;=$AR$3),1,)</f>
        <v>0</v>
      </c>
      <c r="AQ7" s="317">
        <f t="shared" ref="AQ7:AQ36" si="15">IF((F7&lt;=$AS$2)*AND(G7&gt;=$AS$3),1,)+IF((H7&lt;=$AS$2)*AND(I7&gt;=$AS$3),1,)+IF((J7&lt;=$AS$2)*AND(K7&gt;=$AS$3),1,)</f>
        <v>0</v>
      </c>
      <c r="AR7" s="317">
        <f t="shared" ref="AR7:AR36" si="16">IF((F7=$AT$2)*AND(G7&gt;=$AT$3),1,)+IF((H7=$AT$2)*AND(I7&gt;=$AT$3),1,)+IF((J7=$AT$2)*AND(K7&gt;=$AT$3),1,)</f>
        <v>0</v>
      </c>
      <c r="AS7" s="4">
        <f t="shared" ref="AS7:AS36" si="17">IF((E7="MO")*OR(E7="mo"),1,0)</f>
        <v>0</v>
      </c>
      <c r="AT7" s="4">
        <f t="shared" ref="AT7:AT36" si="18">IF((E7="M")*OR(E7="m"),1,0)</f>
        <v>0</v>
      </c>
      <c r="AU7" s="313">
        <f>IF(Data!$H$8="x",AV7,AW7)</f>
        <v>0.31666666666666665</v>
      </c>
      <c r="AV7" s="313">
        <f t="shared" ref="AV7:AV36" si="19">AW7/2</f>
        <v>0.15833333333333333</v>
      </c>
      <c r="AW7" s="313">
        <f>IF(D7="V",AX4,(AX4+"07:36"))</f>
        <v>0.31666666666666665</v>
      </c>
      <c r="AX7" s="6" t="str">
        <f t="shared" ref="AX7:AX36" si="20">B7</f>
        <v>Wo</v>
      </c>
      <c r="AY7" s="4">
        <f>IF((R39="HAU1")*AND(R40&lt;&gt;""),VLOOKUP(R40,Barema!$Q$5:$R$31,2),)</f>
        <v>0</v>
      </c>
      <c r="AZ7" s="4" t="s">
        <v>0</v>
      </c>
      <c r="BA7" s="102"/>
      <c r="BB7"/>
    </row>
    <row r="8" spans="1:54" x14ac:dyDescent="0.2">
      <c r="B8" s="6" t="s">
        <v>167</v>
      </c>
      <c r="C8" s="311" t="s">
        <v>316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38">
        <f>M7+L8</f>
        <v>0</v>
      </c>
      <c r="N8" s="338">
        <f>IF(Mar!$H$48="x",AU8+Mar!$N$37,AU8)</f>
        <v>7.5999999999999961</v>
      </c>
      <c r="O8" s="337" t="str">
        <f t="shared" ref="O8:O36" si="21">IF((M8-N8-U$4)&lt;0,"-","+")</f>
        <v>-</v>
      </c>
      <c r="P8" s="339">
        <f t="shared" ref="P8:P36" si="22">ABS(M8-N8-U$4)</f>
        <v>7.5999999999999961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6" si="23">AE8</f>
        <v>0</v>
      </c>
      <c r="W8" s="313">
        <f t="shared" ref="W8:W36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6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Do</v>
      </c>
      <c r="AY8" s="4">
        <f>IF((R39="HAU2")*AND(R40&lt;&gt;""),VLOOKUP(R40,Barema!$T$5:$U$31,2),)</f>
        <v>0</v>
      </c>
      <c r="AZ8" s="4" t="s">
        <v>1</v>
      </c>
      <c r="BA8" s="102"/>
    </row>
    <row r="9" spans="1:54" x14ac:dyDescent="0.2">
      <c r="B9" s="6" t="s">
        <v>169</v>
      </c>
      <c r="C9" s="311" t="s">
        <v>317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38">
        <f t="shared" ref="M9:M34" si="25">M8+L9</f>
        <v>0</v>
      </c>
      <c r="N9" s="338">
        <f>IF(Mar!$H$48="x",AU9+Mar!$N$37,AU9)</f>
        <v>7.9166666666666634</v>
      </c>
      <c r="O9" s="337" t="str">
        <f t="shared" si="21"/>
        <v>-</v>
      </c>
      <c r="P9" s="339">
        <f t="shared" si="22"/>
        <v>7.9166666666666634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6" si="26">AA9+AB9</f>
        <v>0</v>
      </c>
      <c r="AD9" s="315">
        <f t="shared" si="6"/>
        <v>0</v>
      </c>
      <c r="AE9" s="316">
        <f t="shared" ref="AE9:AE36" si="27">AA9-AD9</f>
        <v>0</v>
      </c>
      <c r="AF9" s="315">
        <f t="shared" ref="AF9:AF36" si="28">AH9+AD9</f>
        <v>0</v>
      </c>
      <c r="AG9" s="316">
        <f t="shared" ref="AG9:AG36" si="29">AC9</f>
        <v>0</v>
      </c>
      <c r="AH9" s="316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0.95</v>
      </c>
      <c r="AV9" s="313">
        <f t="shared" si="19"/>
        <v>0.47499999999999998</v>
      </c>
      <c r="AW9" s="313">
        <f>IF(D9="V",AW8,(AW8+"07:36"))</f>
        <v>0.95</v>
      </c>
      <c r="AX9" s="6" t="str">
        <f t="shared" si="20"/>
        <v>Vr</v>
      </c>
      <c r="AY9" s="4">
        <f>IF((R39="HAU3")*AND(R40&lt;&gt;""),VLOOKUP(R40,Barema!$W$5:$X$31,2),)</f>
        <v>0</v>
      </c>
      <c r="AZ9" s="4" t="s">
        <v>2</v>
      </c>
      <c r="BA9" s="102"/>
    </row>
    <row r="10" spans="1:54" s="376" customFormat="1" x14ac:dyDescent="0.2">
      <c r="A10" s="374"/>
      <c r="B10" s="362" t="s">
        <v>171</v>
      </c>
      <c r="C10" s="363" t="s">
        <v>318</v>
      </c>
      <c r="D10" s="364"/>
      <c r="E10" s="364"/>
      <c r="F10" s="365"/>
      <c r="G10" s="365"/>
      <c r="H10" s="365"/>
      <c r="I10" s="365"/>
      <c r="J10" s="375"/>
      <c r="K10" s="375"/>
      <c r="L10" s="366">
        <f>(G10-F10)+(I10-H10)+(K10-J10)</f>
        <v>0</v>
      </c>
      <c r="M10" s="382">
        <f t="shared" si="25"/>
        <v>0</v>
      </c>
      <c r="N10" s="382">
        <f>IF(Mar!$H$48="x",AU10+Mar!$N$37,AU10)</f>
        <v>7.9166666666666634</v>
      </c>
      <c r="O10" s="377" t="str">
        <f t="shared" si="21"/>
        <v>-</v>
      </c>
      <c r="P10" s="383">
        <f t="shared" si="22"/>
        <v>7.9166666666666634</v>
      </c>
      <c r="Q10" s="364">
        <f t="shared" si="0"/>
        <v>0</v>
      </c>
      <c r="R10" s="364">
        <f t="shared" si="1"/>
        <v>0</v>
      </c>
      <c r="S10" s="364">
        <f t="shared" si="2"/>
        <v>0</v>
      </c>
      <c r="T10" s="364">
        <f t="shared" si="3"/>
        <v>0</v>
      </c>
      <c r="U10" s="366">
        <f>L10</f>
        <v>0</v>
      </c>
      <c r="V10" s="366">
        <f t="shared" si="23"/>
        <v>0</v>
      </c>
      <c r="W10" s="366">
        <f t="shared" si="24"/>
        <v>0</v>
      </c>
      <c r="X10" s="364"/>
      <c r="Y10" s="365"/>
      <c r="Z10" s="365"/>
      <c r="AA10" s="368">
        <f t="shared" si="4"/>
        <v>0</v>
      </c>
      <c r="AB10" s="368">
        <f t="shared" si="5"/>
        <v>0</v>
      </c>
      <c r="AC10" s="368">
        <f t="shared" si="26"/>
        <v>0</v>
      </c>
      <c r="AD10" s="368">
        <f t="shared" si="6"/>
        <v>0</v>
      </c>
      <c r="AE10" s="369">
        <f t="shared" si="27"/>
        <v>0</v>
      </c>
      <c r="AF10" s="368">
        <f t="shared" si="28"/>
        <v>0</v>
      </c>
      <c r="AG10" s="369">
        <f t="shared" si="29"/>
        <v>0</v>
      </c>
      <c r="AH10" s="369">
        <f t="shared" si="7"/>
        <v>0</v>
      </c>
      <c r="AI10" s="370">
        <f>IF((D10&lt;&gt;""),VLOOKUP(D10,Data!$E$36:$H$53,4),)</f>
        <v>0</v>
      </c>
      <c r="AJ10" s="370">
        <f t="shared" si="8"/>
        <v>0</v>
      </c>
      <c r="AK10" s="371">
        <f t="shared" si="9"/>
        <v>0</v>
      </c>
      <c r="AL10" s="371">
        <f t="shared" si="10"/>
        <v>0</v>
      </c>
      <c r="AM10" s="372">
        <f t="shared" si="11"/>
        <v>0</v>
      </c>
      <c r="AN10" s="370">
        <f t="shared" si="12"/>
        <v>0</v>
      </c>
      <c r="AO10" s="373">
        <f t="shared" si="13"/>
        <v>0</v>
      </c>
      <c r="AP10" s="373">
        <f t="shared" si="14"/>
        <v>0</v>
      </c>
      <c r="AQ10" s="373">
        <f t="shared" si="15"/>
        <v>0</v>
      </c>
      <c r="AR10" s="373">
        <f t="shared" si="16"/>
        <v>0</v>
      </c>
      <c r="AS10" s="371">
        <f t="shared" si="17"/>
        <v>0</v>
      </c>
      <c r="AT10" s="371">
        <f t="shared" si="18"/>
        <v>0</v>
      </c>
      <c r="AU10" s="366">
        <f>IF(Data!$H$8="x",AV10,AW10)</f>
        <v>0.95</v>
      </c>
      <c r="AV10" s="366">
        <f t="shared" si="19"/>
        <v>0.47499999999999998</v>
      </c>
      <c r="AW10" s="366">
        <f>AW9</f>
        <v>0.95</v>
      </c>
      <c r="AX10" s="362" t="str">
        <f t="shared" si="20"/>
        <v>Za</v>
      </c>
      <c r="AY10" s="371">
        <f>IF((R39="B1")*AND(R40&lt;&gt;""),VLOOKUP(R40,Barema!$Z$5:$AA$31,2),)</f>
        <v>0</v>
      </c>
      <c r="AZ10" s="371" t="s">
        <v>3</v>
      </c>
      <c r="BA10" s="439"/>
    </row>
    <row r="11" spans="1:54" s="376" customFormat="1" x14ac:dyDescent="0.2">
      <c r="A11" s="374"/>
      <c r="B11" s="362" t="s">
        <v>173</v>
      </c>
      <c r="C11" s="363" t="s">
        <v>319</v>
      </c>
      <c r="D11" s="364"/>
      <c r="E11" s="364"/>
      <c r="F11" s="365"/>
      <c r="G11" s="365"/>
      <c r="H11" s="365"/>
      <c r="I11" s="365"/>
      <c r="J11" s="375"/>
      <c r="K11" s="375"/>
      <c r="L11" s="366">
        <f>(G11-F11)+(I11-H11)+(K11-J11)</f>
        <v>0</v>
      </c>
      <c r="M11" s="382">
        <f t="shared" si="25"/>
        <v>0</v>
      </c>
      <c r="N11" s="382">
        <f>IF(Mar!$H$48="x",AU11+Mar!$N$37,AU11)</f>
        <v>7.9166666666666634</v>
      </c>
      <c r="O11" s="377" t="str">
        <f t="shared" si="21"/>
        <v>-</v>
      </c>
      <c r="P11" s="383">
        <f t="shared" si="22"/>
        <v>7.9166666666666634</v>
      </c>
      <c r="Q11" s="364">
        <f t="shared" si="0"/>
        <v>0</v>
      </c>
      <c r="R11" s="364">
        <f t="shared" si="1"/>
        <v>0</v>
      </c>
      <c r="S11" s="364">
        <f t="shared" si="2"/>
        <v>0</v>
      </c>
      <c r="T11" s="364">
        <f t="shared" si="3"/>
        <v>0</v>
      </c>
      <c r="U11" s="366">
        <f>L11</f>
        <v>0</v>
      </c>
      <c r="V11" s="366">
        <f t="shared" si="23"/>
        <v>0</v>
      </c>
      <c r="W11" s="366">
        <f t="shared" si="24"/>
        <v>0</v>
      </c>
      <c r="X11" s="364"/>
      <c r="Y11" s="365"/>
      <c r="Z11" s="365"/>
      <c r="AA11" s="368">
        <f t="shared" si="4"/>
        <v>0</v>
      </c>
      <c r="AB11" s="368">
        <f t="shared" si="5"/>
        <v>0</v>
      </c>
      <c r="AC11" s="368">
        <f t="shared" si="26"/>
        <v>0</v>
      </c>
      <c r="AD11" s="368">
        <f t="shared" si="6"/>
        <v>0</v>
      </c>
      <c r="AE11" s="369">
        <f t="shared" si="27"/>
        <v>0</v>
      </c>
      <c r="AF11" s="368">
        <f t="shared" si="28"/>
        <v>0</v>
      </c>
      <c r="AG11" s="369">
        <f t="shared" si="29"/>
        <v>0</v>
      </c>
      <c r="AH11" s="369">
        <f t="shared" si="7"/>
        <v>0</v>
      </c>
      <c r="AI11" s="370">
        <f>IF((D11&lt;&gt;""),VLOOKUP(D11,Data!$E$36:$H$53,4),)</f>
        <v>0</v>
      </c>
      <c r="AJ11" s="370">
        <f t="shared" si="8"/>
        <v>0</v>
      </c>
      <c r="AK11" s="371">
        <f t="shared" si="9"/>
        <v>0</v>
      </c>
      <c r="AL11" s="371">
        <f t="shared" si="10"/>
        <v>0</v>
      </c>
      <c r="AM11" s="372">
        <f t="shared" si="11"/>
        <v>0</v>
      </c>
      <c r="AN11" s="370">
        <f t="shared" si="12"/>
        <v>0</v>
      </c>
      <c r="AO11" s="373">
        <f t="shared" si="13"/>
        <v>0</v>
      </c>
      <c r="AP11" s="373">
        <f t="shared" si="14"/>
        <v>0</v>
      </c>
      <c r="AQ11" s="373">
        <f t="shared" si="15"/>
        <v>0</v>
      </c>
      <c r="AR11" s="373">
        <f t="shared" si="16"/>
        <v>0</v>
      </c>
      <c r="AS11" s="371">
        <f t="shared" si="17"/>
        <v>0</v>
      </c>
      <c r="AT11" s="371">
        <f t="shared" si="18"/>
        <v>0</v>
      </c>
      <c r="AU11" s="366">
        <f>IF(Data!$H$8="x",AV11,AW11)</f>
        <v>0.95</v>
      </c>
      <c r="AV11" s="366">
        <f t="shared" si="19"/>
        <v>0.47499999999999998</v>
      </c>
      <c r="AW11" s="366">
        <f>AW10</f>
        <v>0.95</v>
      </c>
      <c r="AX11" s="362" t="str">
        <f t="shared" si="20"/>
        <v>Zo</v>
      </c>
      <c r="AY11" s="371">
        <f>IF((R39="B2")*AND(R40&lt;&gt;""),VLOOKUP(R40,Barema!$AC$5:$AD$31,2),)</f>
        <v>0</v>
      </c>
      <c r="AZ11" s="371" t="s">
        <v>4</v>
      </c>
      <c r="BA11" s="439"/>
    </row>
    <row r="12" spans="1:54" s="407" customFormat="1" x14ac:dyDescent="0.2">
      <c r="A12" s="406"/>
      <c r="B12" s="385" t="s">
        <v>175</v>
      </c>
      <c r="C12" s="386" t="s">
        <v>320</v>
      </c>
      <c r="D12" s="387" t="s">
        <v>79</v>
      </c>
      <c r="E12" s="387"/>
      <c r="F12" s="388"/>
      <c r="G12" s="388"/>
      <c r="H12" s="388"/>
      <c r="I12" s="388"/>
      <c r="J12" s="400"/>
      <c r="K12" s="400"/>
      <c r="L12" s="389">
        <f>(G12-F12)+(I12-H12)+(K12-J12)+AI12+AN12</f>
        <v>0.31666666666666665</v>
      </c>
      <c r="M12" s="390">
        <f t="shared" si="25"/>
        <v>0.31666666666666665</v>
      </c>
      <c r="N12" s="390">
        <f>IF(Mar!$H$48="x",AU12+Mar!$N$37,AU12)</f>
        <v>8.2333333333333307</v>
      </c>
      <c r="O12" s="391" t="str">
        <f t="shared" si="21"/>
        <v>-</v>
      </c>
      <c r="P12" s="401">
        <f t="shared" si="22"/>
        <v>7.9166666666666643</v>
      </c>
      <c r="Q12" s="387">
        <f t="shared" si="0"/>
        <v>0</v>
      </c>
      <c r="R12" s="387">
        <f t="shared" si="1"/>
        <v>0</v>
      </c>
      <c r="S12" s="387">
        <f t="shared" si="2"/>
        <v>0</v>
      </c>
      <c r="T12" s="387">
        <f t="shared" si="3"/>
        <v>0</v>
      </c>
      <c r="U12" s="389">
        <f>IF(D12="F",L12,0)</f>
        <v>0</v>
      </c>
      <c r="V12" s="389">
        <f t="shared" si="23"/>
        <v>0</v>
      </c>
      <c r="W12" s="389">
        <f t="shared" si="24"/>
        <v>0</v>
      </c>
      <c r="X12" s="387"/>
      <c r="Y12" s="388"/>
      <c r="Z12" s="388"/>
      <c r="AA12" s="393">
        <f t="shared" si="4"/>
        <v>0</v>
      </c>
      <c r="AB12" s="393">
        <f t="shared" si="5"/>
        <v>0</v>
      </c>
      <c r="AC12" s="393">
        <f t="shared" si="26"/>
        <v>0</v>
      </c>
      <c r="AD12" s="393">
        <f t="shared" si="6"/>
        <v>0</v>
      </c>
      <c r="AE12" s="394">
        <f t="shared" si="27"/>
        <v>0</v>
      </c>
      <c r="AF12" s="393">
        <f t="shared" si="28"/>
        <v>0</v>
      </c>
      <c r="AG12" s="394">
        <f t="shared" si="29"/>
        <v>0</v>
      </c>
      <c r="AH12" s="394">
        <f t="shared" si="7"/>
        <v>0</v>
      </c>
      <c r="AI12" s="395">
        <f>IF((D12&lt;&gt;""),VLOOKUP(D12,Data!$E$36:$H$53,4),)</f>
        <v>0.31666666666666665</v>
      </c>
      <c r="AJ12" s="395">
        <f t="shared" si="8"/>
        <v>0</v>
      </c>
      <c r="AK12" s="396" t="str">
        <f t="shared" si="9"/>
        <v>FV</v>
      </c>
      <c r="AL12" s="396">
        <f t="shared" si="10"/>
        <v>0</v>
      </c>
      <c r="AM12" s="397">
        <f t="shared" si="11"/>
        <v>0</v>
      </c>
      <c r="AN12" s="395">
        <f t="shared" si="12"/>
        <v>0</v>
      </c>
      <c r="AO12" s="398">
        <f t="shared" si="13"/>
        <v>0</v>
      </c>
      <c r="AP12" s="398">
        <f t="shared" si="14"/>
        <v>0</v>
      </c>
      <c r="AQ12" s="398">
        <f t="shared" si="15"/>
        <v>0</v>
      </c>
      <c r="AR12" s="398">
        <f t="shared" si="16"/>
        <v>0</v>
      </c>
      <c r="AS12" s="396">
        <f t="shared" si="17"/>
        <v>0</v>
      </c>
      <c r="AT12" s="396">
        <f t="shared" si="18"/>
        <v>0</v>
      </c>
      <c r="AU12" s="389">
        <f>IF(Data!$H$8="x",AV12,AW12)</f>
        <v>1.2666666666666666</v>
      </c>
      <c r="AV12" s="389">
        <f t="shared" si="19"/>
        <v>0.6333333333333333</v>
      </c>
      <c r="AW12" s="389">
        <f>IF(D12="V",AW11,(AW11+"07:36"))</f>
        <v>1.2666666666666666</v>
      </c>
      <c r="AX12" s="385" t="str">
        <f t="shared" si="20"/>
        <v>Ma</v>
      </c>
      <c r="AY12" s="396">
        <f>IF((R39="B3")*AND(R40&lt;&gt;""),VLOOKUP(R40,Barema!$AF$5:$AG$31,2),)</f>
        <v>0</v>
      </c>
      <c r="AZ12" s="396" t="s">
        <v>5</v>
      </c>
      <c r="BA12" s="102"/>
    </row>
    <row r="13" spans="1:54" s="335" customFormat="1" x14ac:dyDescent="0.2">
      <c r="A13" s="302"/>
      <c r="B13" s="6" t="s">
        <v>177</v>
      </c>
      <c r="C13" s="311" t="s">
        <v>321</v>
      </c>
      <c r="D13" s="312"/>
      <c r="E13" s="312"/>
      <c r="F13" s="274"/>
      <c r="G13" s="274"/>
      <c r="H13" s="310"/>
      <c r="I13" s="310"/>
      <c r="J13" s="336"/>
      <c r="K13" s="336"/>
      <c r="L13" s="313">
        <f>(G13-F13)+(I13-H13)+(K13-J13)+AI13+AN13</f>
        <v>0</v>
      </c>
      <c r="M13" s="338">
        <f t="shared" si="25"/>
        <v>0.31666666666666665</v>
      </c>
      <c r="N13" s="338">
        <f>IF(Mar!$H$48="x",AU13+Mar!$N$37,AU13)</f>
        <v>8.5499999999999972</v>
      </c>
      <c r="O13" s="337" t="str">
        <f t="shared" si="21"/>
        <v>-</v>
      </c>
      <c r="P13" s="339">
        <f t="shared" si="22"/>
        <v>8.2333333333333307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6"/>
        <v>0</v>
      </c>
      <c r="AD13" s="315">
        <f t="shared" si="6"/>
        <v>0</v>
      </c>
      <c r="AE13" s="316">
        <f t="shared" si="27"/>
        <v>0</v>
      </c>
      <c r="AF13" s="315">
        <f t="shared" si="28"/>
        <v>0</v>
      </c>
      <c r="AG13" s="316">
        <f t="shared" si="29"/>
        <v>0</v>
      </c>
      <c r="AH13" s="316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Di</v>
      </c>
      <c r="AY13" s="4">
        <f>IF((R39="B4")*AND(R40&lt;&gt;""),VLOOKUP(R40,Barema!$AI$5:$AJ$34,2),)</f>
        <v>0</v>
      </c>
      <c r="AZ13" s="4" t="s">
        <v>6</v>
      </c>
      <c r="BA13" s="102"/>
      <c r="BB13"/>
    </row>
    <row r="14" spans="1:54" x14ac:dyDescent="0.2">
      <c r="B14" s="6" t="s">
        <v>179</v>
      </c>
      <c r="C14" s="311" t="s">
        <v>322</v>
      </c>
      <c r="D14" s="312"/>
      <c r="E14" s="312"/>
      <c r="F14" s="274"/>
      <c r="G14" s="274"/>
      <c r="H14" s="310"/>
      <c r="I14" s="310"/>
      <c r="J14" s="336"/>
      <c r="K14" s="336"/>
      <c r="L14" s="313">
        <f>(G14-F14)+(I14-H14)+(K14-J14)+AI14+AN14</f>
        <v>0</v>
      </c>
      <c r="M14" s="338">
        <f>M13+L14</f>
        <v>0.31666666666666665</v>
      </c>
      <c r="N14" s="338">
        <f>IF(Mar!$H$48="x",AU14+Mar!$N$37,AU14)</f>
        <v>8.8666666666666636</v>
      </c>
      <c r="O14" s="337" t="str">
        <f t="shared" si="21"/>
        <v>-</v>
      </c>
      <c r="P14" s="339">
        <f t="shared" si="22"/>
        <v>8.5499999999999972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6"/>
        <v>0</v>
      </c>
      <c r="AD14" s="315">
        <f t="shared" si="6"/>
        <v>0</v>
      </c>
      <c r="AE14" s="316">
        <f t="shared" si="27"/>
        <v>0</v>
      </c>
      <c r="AF14" s="315">
        <f t="shared" si="28"/>
        <v>0</v>
      </c>
      <c r="AG14" s="316">
        <f t="shared" si="29"/>
        <v>0</v>
      </c>
      <c r="AH14" s="316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Wo</v>
      </c>
      <c r="AY14" s="4">
        <f>IF((R39="B5")*AND(R40&lt;&gt;""),VLOOKUP(R40,Barema!$AL$5:$AM$34,2),)</f>
        <v>0</v>
      </c>
      <c r="AZ14" s="4" t="s">
        <v>7</v>
      </c>
      <c r="BA14" s="102"/>
    </row>
    <row r="15" spans="1:54" x14ac:dyDescent="0.2">
      <c r="B15" s="6" t="s">
        <v>167</v>
      </c>
      <c r="C15" s="311" t="s">
        <v>323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38">
        <f>M14+L15</f>
        <v>0.31666666666666665</v>
      </c>
      <c r="N15" s="338">
        <f>IF(Mar!$H$48="x",AU15+Mar!$N$37,AU15)</f>
        <v>9.18333333333333</v>
      </c>
      <c r="O15" s="337" t="str">
        <f t="shared" si="21"/>
        <v>-</v>
      </c>
      <c r="P15" s="339">
        <f t="shared" si="22"/>
        <v>8.8666666666666636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6"/>
        <v>0</v>
      </c>
      <c r="AD15" s="315">
        <f t="shared" si="6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6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Do</v>
      </c>
      <c r="AY15" s="4">
        <f>IF((R39="M1.1")*AND(R40&lt;&gt;""),VLOOKUP(R40,Barema!$AO$5:$AP$31,2),)</f>
        <v>0</v>
      </c>
      <c r="AZ15" s="4" t="s">
        <v>8</v>
      </c>
      <c r="BA15" s="102"/>
    </row>
    <row r="16" spans="1:54" x14ac:dyDescent="0.2">
      <c r="B16" s="6" t="s">
        <v>169</v>
      </c>
      <c r="C16" s="311" t="s">
        <v>324</v>
      </c>
      <c r="D16" s="312"/>
      <c r="E16" s="310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38">
        <f t="shared" si="25"/>
        <v>0.31666666666666665</v>
      </c>
      <c r="N16" s="338">
        <f>IF(Mar!$H$48="x",AU16+Mar!$N$37,AU16)</f>
        <v>9.4999999999999964</v>
      </c>
      <c r="O16" s="337" t="str">
        <f t="shared" si="21"/>
        <v>-</v>
      </c>
      <c r="P16" s="339">
        <f t="shared" si="22"/>
        <v>9.18333333333333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6"/>
        <v>0</v>
      </c>
      <c r="AD16" s="315">
        <f t="shared" si="6"/>
        <v>0</v>
      </c>
      <c r="AE16" s="316">
        <f t="shared" si="27"/>
        <v>0</v>
      </c>
      <c r="AF16" s="315">
        <f t="shared" si="28"/>
        <v>0</v>
      </c>
      <c r="AG16" s="316">
        <f t="shared" si="29"/>
        <v>0</v>
      </c>
      <c r="AH16" s="316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2.5333333333333332</v>
      </c>
      <c r="AV16" s="313">
        <f t="shared" si="19"/>
        <v>1.2666666666666666</v>
      </c>
      <c r="AW16" s="313">
        <f>IF(D16="V",AW15,(AW15+"07:36"))</f>
        <v>2.5333333333333332</v>
      </c>
      <c r="AX16" s="6" t="str">
        <f t="shared" si="20"/>
        <v>Vr</v>
      </c>
      <c r="AY16" s="4">
        <f>IF((R39="M1.2")*AND(R40&lt;&gt;""),VLOOKUP(R40,Barema!$AR$5:$AS$31,2),)</f>
        <v>0</v>
      </c>
      <c r="AZ16" s="4" t="s">
        <v>9</v>
      </c>
      <c r="BA16" s="102"/>
    </row>
    <row r="17" spans="1:54" s="376" customFormat="1" x14ac:dyDescent="0.2">
      <c r="A17" s="374"/>
      <c r="B17" s="362" t="s">
        <v>171</v>
      </c>
      <c r="C17" s="363" t="s">
        <v>325</v>
      </c>
      <c r="D17" s="364"/>
      <c r="E17" s="364"/>
      <c r="F17" s="365"/>
      <c r="G17" s="365"/>
      <c r="H17" s="365"/>
      <c r="I17" s="365"/>
      <c r="J17" s="375"/>
      <c r="K17" s="375"/>
      <c r="L17" s="366">
        <f>(G17-F17)+(I17-H17)+(K17-J17)</f>
        <v>0</v>
      </c>
      <c r="M17" s="382">
        <f t="shared" si="25"/>
        <v>0.31666666666666665</v>
      </c>
      <c r="N17" s="382">
        <f>IF(Mar!$H$48="x",AU17+Mar!$N$37,AU17)</f>
        <v>9.4999999999999964</v>
      </c>
      <c r="O17" s="377" t="str">
        <f t="shared" si="21"/>
        <v>-</v>
      </c>
      <c r="P17" s="383">
        <f t="shared" si="22"/>
        <v>9.18333333333333</v>
      </c>
      <c r="Q17" s="364">
        <f t="shared" si="0"/>
        <v>0</v>
      </c>
      <c r="R17" s="364">
        <f t="shared" si="1"/>
        <v>0</v>
      </c>
      <c r="S17" s="364">
        <f t="shared" si="2"/>
        <v>0</v>
      </c>
      <c r="T17" s="364">
        <f t="shared" si="3"/>
        <v>0</v>
      </c>
      <c r="U17" s="366">
        <f>L17</f>
        <v>0</v>
      </c>
      <c r="V17" s="366">
        <f t="shared" si="23"/>
        <v>0</v>
      </c>
      <c r="W17" s="366">
        <f t="shared" si="24"/>
        <v>0</v>
      </c>
      <c r="X17" s="364"/>
      <c r="Y17" s="365"/>
      <c r="Z17" s="365"/>
      <c r="AA17" s="368">
        <f t="shared" si="4"/>
        <v>0</v>
      </c>
      <c r="AB17" s="368">
        <f t="shared" si="5"/>
        <v>0</v>
      </c>
      <c r="AC17" s="368">
        <f t="shared" si="26"/>
        <v>0</v>
      </c>
      <c r="AD17" s="368">
        <f t="shared" si="6"/>
        <v>0</v>
      </c>
      <c r="AE17" s="369">
        <f t="shared" si="27"/>
        <v>0</v>
      </c>
      <c r="AF17" s="368">
        <f t="shared" si="28"/>
        <v>0</v>
      </c>
      <c r="AG17" s="369">
        <f t="shared" si="29"/>
        <v>0</v>
      </c>
      <c r="AH17" s="369">
        <f t="shared" si="7"/>
        <v>0</v>
      </c>
      <c r="AI17" s="370">
        <f>IF((D17&lt;&gt;""),VLOOKUP(D17,Data!$E$36:$H$53,4),)</f>
        <v>0</v>
      </c>
      <c r="AJ17" s="370">
        <f>IF(U17&gt;0,L17,0)</f>
        <v>0</v>
      </c>
      <c r="AK17" s="371">
        <f t="shared" si="9"/>
        <v>0</v>
      </c>
      <c r="AL17" s="371">
        <f t="shared" si="10"/>
        <v>0</v>
      </c>
      <c r="AM17" s="372">
        <f t="shared" si="11"/>
        <v>0</v>
      </c>
      <c r="AN17" s="370">
        <f t="shared" si="12"/>
        <v>0</v>
      </c>
      <c r="AO17" s="373">
        <f t="shared" si="13"/>
        <v>0</v>
      </c>
      <c r="AP17" s="373">
        <f t="shared" si="14"/>
        <v>0</v>
      </c>
      <c r="AQ17" s="373">
        <f t="shared" si="15"/>
        <v>0</v>
      </c>
      <c r="AR17" s="373">
        <f t="shared" si="16"/>
        <v>0</v>
      </c>
      <c r="AS17" s="371">
        <f t="shared" si="17"/>
        <v>0</v>
      </c>
      <c r="AT17" s="371">
        <f t="shared" si="18"/>
        <v>0</v>
      </c>
      <c r="AU17" s="366">
        <f>IF(Data!$H$8="x",AV17,AW17)</f>
        <v>2.5333333333333332</v>
      </c>
      <c r="AV17" s="366">
        <f t="shared" si="19"/>
        <v>1.2666666666666666</v>
      </c>
      <c r="AW17" s="366">
        <f>AW16</f>
        <v>2.5333333333333332</v>
      </c>
      <c r="AX17" s="362" t="str">
        <f t="shared" si="20"/>
        <v>Za</v>
      </c>
      <c r="AY17" s="371">
        <f>IF((R39="M2.1")*AND(R40&lt;&gt;""),VLOOKUP(R40,Barema!$AU$5:$AV$31,2),)</f>
        <v>0</v>
      </c>
      <c r="AZ17" s="371" t="s">
        <v>10</v>
      </c>
      <c r="BA17" s="439"/>
    </row>
    <row r="18" spans="1:54" s="376" customFormat="1" x14ac:dyDescent="0.2">
      <c r="A18" s="374"/>
      <c r="B18" s="362" t="s">
        <v>173</v>
      </c>
      <c r="C18" s="363" t="s">
        <v>326</v>
      </c>
      <c r="D18" s="364"/>
      <c r="E18" s="364"/>
      <c r="F18" s="365"/>
      <c r="G18" s="365"/>
      <c r="H18" s="365"/>
      <c r="I18" s="365"/>
      <c r="J18" s="375"/>
      <c r="K18" s="375"/>
      <c r="L18" s="366">
        <f>(G18-F18)+(I18-H18)+(K18-J18)</f>
        <v>0</v>
      </c>
      <c r="M18" s="382">
        <f t="shared" si="25"/>
        <v>0.31666666666666665</v>
      </c>
      <c r="N18" s="382">
        <f>IF(Mar!$H$48="x",AU18+Mar!$N$37,AU18)</f>
        <v>9.4999999999999964</v>
      </c>
      <c r="O18" s="377" t="str">
        <f t="shared" si="21"/>
        <v>-</v>
      </c>
      <c r="P18" s="383">
        <f t="shared" si="22"/>
        <v>9.18333333333333</v>
      </c>
      <c r="Q18" s="364">
        <f t="shared" si="0"/>
        <v>0</v>
      </c>
      <c r="R18" s="364">
        <f t="shared" si="1"/>
        <v>0</v>
      </c>
      <c r="S18" s="364">
        <f t="shared" si="2"/>
        <v>0</v>
      </c>
      <c r="T18" s="364">
        <f t="shared" si="3"/>
        <v>0</v>
      </c>
      <c r="U18" s="366">
        <f>L18</f>
        <v>0</v>
      </c>
      <c r="V18" s="366">
        <f t="shared" si="23"/>
        <v>0</v>
      </c>
      <c r="W18" s="366">
        <f t="shared" si="24"/>
        <v>0</v>
      </c>
      <c r="X18" s="364"/>
      <c r="Y18" s="365"/>
      <c r="Z18" s="365"/>
      <c r="AA18" s="368">
        <f t="shared" si="4"/>
        <v>0</v>
      </c>
      <c r="AB18" s="368">
        <f t="shared" si="5"/>
        <v>0</v>
      </c>
      <c r="AC18" s="368">
        <f t="shared" si="26"/>
        <v>0</v>
      </c>
      <c r="AD18" s="368">
        <f t="shared" si="6"/>
        <v>0</v>
      </c>
      <c r="AE18" s="369">
        <f t="shared" si="27"/>
        <v>0</v>
      </c>
      <c r="AF18" s="368">
        <f t="shared" si="28"/>
        <v>0</v>
      </c>
      <c r="AG18" s="369">
        <f t="shared" si="29"/>
        <v>0</v>
      </c>
      <c r="AH18" s="369">
        <f t="shared" si="7"/>
        <v>0</v>
      </c>
      <c r="AI18" s="370">
        <f>IF((D18&lt;&gt;""),VLOOKUP(D18,Data!$E$36:$H$53,4),)</f>
        <v>0</v>
      </c>
      <c r="AJ18" s="370">
        <f>IF(U18&gt;0,L18,0)</f>
        <v>0</v>
      </c>
      <c r="AK18" s="371">
        <f t="shared" si="9"/>
        <v>0</v>
      </c>
      <c r="AL18" s="371">
        <f t="shared" si="10"/>
        <v>0</v>
      </c>
      <c r="AM18" s="372">
        <f t="shared" si="11"/>
        <v>0</v>
      </c>
      <c r="AN18" s="370">
        <f t="shared" si="12"/>
        <v>0</v>
      </c>
      <c r="AO18" s="373">
        <f t="shared" si="13"/>
        <v>0</v>
      </c>
      <c r="AP18" s="373">
        <f t="shared" si="14"/>
        <v>0</v>
      </c>
      <c r="AQ18" s="373">
        <f t="shared" si="15"/>
        <v>0</v>
      </c>
      <c r="AR18" s="373">
        <f t="shared" si="16"/>
        <v>0</v>
      </c>
      <c r="AS18" s="371">
        <f t="shared" si="17"/>
        <v>0</v>
      </c>
      <c r="AT18" s="371">
        <f t="shared" si="18"/>
        <v>0</v>
      </c>
      <c r="AU18" s="366">
        <f>IF(Data!$H$8="x",AV18,AW18)</f>
        <v>2.5333333333333332</v>
      </c>
      <c r="AV18" s="366">
        <f t="shared" si="19"/>
        <v>1.2666666666666666</v>
      </c>
      <c r="AW18" s="366">
        <f>AW17</f>
        <v>2.5333333333333332</v>
      </c>
      <c r="AX18" s="362" t="str">
        <f t="shared" si="20"/>
        <v>Zo</v>
      </c>
      <c r="AY18" s="371">
        <f>IF((R39="M2.2")*AND(R40&lt;&gt;""),VLOOKUP(R40,Barema!$AX$5:$AY$31,2),)</f>
        <v>0</v>
      </c>
      <c r="AZ18" s="371" t="s">
        <v>11</v>
      </c>
      <c r="BA18" s="439"/>
    </row>
    <row r="19" spans="1:54" s="376" customFormat="1" x14ac:dyDescent="0.2">
      <c r="A19" s="374"/>
      <c r="B19" s="6" t="s">
        <v>175</v>
      </c>
      <c r="C19" s="311" t="s">
        <v>327</v>
      </c>
      <c r="D19" s="312"/>
      <c r="E19" s="312"/>
      <c r="F19" s="274"/>
      <c r="G19" s="274"/>
      <c r="H19" s="310"/>
      <c r="I19" s="310"/>
      <c r="J19" s="336"/>
      <c r="K19" s="336"/>
      <c r="L19" s="313">
        <f>(G19-F19)+(I19-H19)+(K19-J19)+AI19+AN19</f>
        <v>0</v>
      </c>
      <c r="M19" s="338">
        <f t="shared" si="25"/>
        <v>0.31666666666666665</v>
      </c>
      <c r="N19" s="338">
        <f>IF(Mar!$H$48="x",AU19+Mar!$N$37,AU19)</f>
        <v>9.8166666666666629</v>
      </c>
      <c r="O19" s="337" t="str">
        <f t="shared" si="21"/>
        <v>-</v>
      </c>
      <c r="P19" s="339">
        <f t="shared" si="22"/>
        <v>9.4999999999999964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6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2.8499999999999996</v>
      </c>
      <c r="AV19" s="313">
        <f t="shared" si="19"/>
        <v>1.4249999999999998</v>
      </c>
      <c r="AW19" s="313">
        <f>IF(D19="V",AW18,(AW18+"07:36"))</f>
        <v>2.8499999999999996</v>
      </c>
      <c r="AX19" s="6" t="str">
        <f t="shared" si="20"/>
        <v>Ma</v>
      </c>
      <c r="AY19" s="4">
        <f>IF((R39="M3.1")*AND(R40&lt;&gt;""),VLOOKUP(R40,Barema!$BA$5:$BB$31,2),)</f>
        <v>0</v>
      </c>
      <c r="AZ19" s="4" t="s">
        <v>12</v>
      </c>
      <c r="BA19" s="102"/>
    </row>
    <row r="20" spans="1:54" s="335" customFormat="1" x14ac:dyDescent="0.2">
      <c r="A20" s="302"/>
      <c r="B20" s="6" t="s">
        <v>177</v>
      </c>
      <c r="C20" s="311" t="s">
        <v>328</v>
      </c>
      <c r="D20" s="312"/>
      <c r="E20" s="312"/>
      <c r="F20" s="274"/>
      <c r="G20" s="274"/>
      <c r="H20" s="310"/>
      <c r="I20" s="310"/>
      <c r="J20" s="336"/>
      <c r="K20" s="336"/>
      <c r="L20" s="313">
        <f>(G20-F20)+(I20-H20)+(K20-J20)+AI20+AN20</f>
        <v>0</v>
      </c>
      <c r="M20" s="338">
        <f t="shared" si="25"/>
        <v>0.31666666666666665</v>
      </c>
      <c r="N20" s="338">
        <f>IF(Mar!$H$48="x",AU20+Mar!$N$37,AU20)</f>
        <v>10.133333333333329</v>
      </c>
      <c r="O20" s="337" t="str">
        <f t="shared" si="21"/>
        <v>-</v>
      </c>
      <c r="P20" s="339">
        <f t="shared" si="22"/>
        <v>9.8166666666666629</v>
      </c>
      <c r="Q20" s="312">
        <f t="shared" si="0"/>
        <v>0</v>
      </c>
      <c r="R20" s="312">
        <f t="shared" si="1"/>
        <v>0</v>
      </c>
      <c r="S20" s="312">
        <f t="shared" si="2"/>
        <v>0</v>
      </c>
      <c r="T20" s="312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6"/>
        <v>0</v>
      </c>
      <c r="AD20" s="315">
        <f t="shared" si="6"/>
        <v>0</v>
      </c>
      <c r="AE20" s="316">
        <f t="shared" si="27"/>
        <v>0</v>
      </c>
      <c r="AF20" s="315">
        <f t="shared" si="28"/>
        <v>0</v>
      </c>
      <c r="AG20" s="316">
        <f t="shared" si="29"/>
        <v>0</v>
      </c>
      <c r="AH20" s="316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 t="shared" si="19"/>
        <v>1.583333333333333</v>
      </c>
      <c r="AW20" s="313">
        <f>IF(D20="V",AW19,(AW19+"07:36"))</f>
        <v>3.1666666666666661</v>
      </c>
      <c r="AX20" s="6" t="str">
        <f t="shared" si="20"/>
        <v>Di</v>
      </c>
      <c r="AY20" s="4">
        <f>IF((R39="M3.2")*AND(R40&lt;&gt;""),VLOOKUP(R40,Barema!$BD$5:$BE$31,2),)</f>
        <v>0</v>
      </c>
      <c r="AZ20" s="4" t="s">
        <v>13</v>
      </c>
      <c r="BA20" s="102"/>
      <c r="BB20"/>
    </row>
    <row r="21" spans="1:54" x14ac:dyDescent="0.2">
      <c r="B21" s="6" t="s">
        <v>179</v>
      </c>
      <c r="C21" s="311" t="s">
        <v>329</v>
      </c>
      <c r="D21" s="312"/>
      <c r="E21" s="312"/>
      <c r="F21" s="274"/>
      <c r="G21" s="274"/>
      <c r="H21" s="310"/>
      <c r="I21" s="310"/>
      <c r="J21" s="336"/>
      <c r="K21" s="336"/>
      <c r="L21" s="313">
        <f>(G21-F21)+(I21-H21)+(K21-J21)+AI21+AN21</f>
        <v>0</v>
      </c>
      <c r="M21" s="338">
        <f>M20+L21</f>
        <v>0.31666666666666665</v>
      </c>
      <c r="N21" s="338">
        <f>IF(Mar!$H$48="x",AU21+Mar!$N$37,AU21)</f>
        <v>10.449999999999996</v>
      </c>
      <c r="O21" s="337" t="str">
        <f t="shared" si="21"/>
        <v>-</v>
      </c>
      <c r="P21" s="339">
        <f t="shared" si="22"/>
        <v>10.133333333333329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6"/>
        <v>0</v>
      </c>
      <c r="AD21" s="315">
        <f t="shared" si="6"/>
        <v>0</v>
      </c>
      <c r="AE21" s="316">
        <f t="shared" si="27"/>
        <v>0</v>
      </c>
      <c r="AF21" s="315">
        <f t="shared" si="28"/>
        <v>0</v>
      </c>
      <c r="AG21" s="316">
        <f t="shared" si="29"/>
        <v>0</v>
      </c>
      <c r="AH21" s="316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 t="shared" si="19"/>
        <v>1.7416666666666663</v>
      </c>
      <c r="AW21" s="313">
        <f>IF(D21="V",AW20,(AW20+"07:36"))</f>
        <v>3.4833333333333325</v>
      </c>
      <c r="AX21" s="6" t="str">
        <f t="shared" si="20"/>
        <v>Wo</v>
      </c>
      <c r="AY21" s="4">
        <f>IF((R39="M4.1")*AND(R40&lt;&gt;""),VLOOKUP(R40,Barema!$BG$5:$BH$34,2),)</f>
        <v>32086.02</v>
      </c>
      <c r="AZ21" s="4" t="s">
        <v>14</v>
      </c>
      <c r="BA21" s="102"/>
    </row>
    <row r="22" spans="1:54" x14ac:dyDescent="0.2">
      <c r="B22" s="6" t="s">
        <v>167</v>
      </c>
      <c r="C22" s="311" t="s">
        <v>330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38">
        <f>M21+L22</f>
        <v>0.31666666666666665</v>
      </c>
      <c r="N22" s="338">
        <f>IF(Mar!$H$48="x",AU22+Mar!$N$37,AU22)</f>
        <v>10.766666666666662</v>
      </c>
      <c r="O22" s="337" t="str">
        <f t="shared" si="21"/>
        <v>-</v>
      </c>
      <c r="P22" s="339">
        <f t="shared" si="22"/>
        <v>10.449999999999996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6"/>
        <v>0</v>
      </c>
      <c r="AD22" s="315">
        <f t="shared" si="6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6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Do</v>
      </c>
      <c r="AY22" s="4">
        <f>IF((R39="M4.2")*AND(R40&lt;&gt;""),VLOOKUP(R40,Barema!$BJ$5:$BK$31,2),)</f>
        <v>0</v>
      </c>
      <c r="AZ22" s="4" t="s">
        <v>15</v>
      </c>
      <c r="BA22" s="102"/>
    </row>
    <row r="23" spans="1:54" x14ac:dyDescent="0.2">
      <c r="B23" s="6" t="s">
        <v>169</v>
      </c>
      <c r="C23" s="311" t="s">
        <v>331</v>
      </c>
      <c r="D23" s="312"/>
      <c r="E23" s="312"/>
      <c r="F23" s="274"/>
      <c r="G23" s="274"/>
      <c r="H23" s="310"/>
      <c r="I23" s="310"/>
      <c r="J23" s="310"/>
      <c r="K23" s="310"/>
      <c r="L23" s="313">
        <f>(G23-F23)+(I23-H23)+(K23-J23)+AI23+AN23</f>
        <v>0</v>
      </c>
      <c r="M23" s="338">
        <f t="shared" si="25"/>
        <v>0.31666666666666665</v>
      </c>
      <c r="N23" s="338">
        <f>IF(Mar!$H$48="x",AU23+Mar!$N$37,AU23)</f>
        <v>11.083333333333329</v>
      </c>
      <c r="O23" s="337" t="str">
        <f t="shared" si="21"/>
        <v>-</v>
      </c>
      <c r="P23" s="314">
        <f t="shared" si="22"/>
        <v>10.766666666666662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6"/>
        <v>0</v>
      </c>
      <c r="AD23" s="315">
        <f t="shared" si="6"/>
        <v>0</v>
      </c>
      <c r="AE23" s="316">
        <f t="shared" si="27"/>
        <v>0</v>
      </c>
      <c r="AF23" s="315">
        <f t="shared" si="28"/>
        <v>0</v>
      </c>
      <c r="AG23" s="316">
        <f t="shared" si="29"/>
        <v>0</v>
      </c>
      <c r="AH23" s="316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4.1166666666666654</v>
      </c>
      <c r="AV23" s="313">
        <f t="shared" si="19"/>
        <v>2.0583333333333327</v>
      </c>
      <c r="AW23" s="313">
        <f>IF(D23="V",AW22,(AW22+"07:36"))</f>
        <v>4.1166666666666654</v>
      </c>
      <c r="AX23" s="6" t="str">
        <f t="shared" si="20"/>
        <v>Vr</v>
      </c>
      <c r="AY23" s="4">
        <f>IF((R39="M5.1")*AND(R40&lt;&gt;""),VLOOKUP(R40,Barema!$BM$5:$BN$34,2),)</f>
        <v>0</v>
      </c>
      <c r="AZ23" s="4" t="s">
        <v>16</v>
      </c>
      <c r="BA23" s="102"/>
    </row>
    <row r="24" spans="1:54" s="376" customFormat="1" x14ac:dyDescent="0.2">
      <c r="A24" s="374"/>
      <c r="B24" s="362" t="s">
        <v>171</v>
      </c>
      <c r="C24" s="363" t="s">
        <v>332</v>
      </c>
      <c r="D24" s="364"/>
      <c r="E24" s="364"/>
      <c r="F24" s="365"/>
      <c r="G24" s="365"/>
      <c r="H24" s="365"/>
      <c r="I24" s="365"/>
      <c r="J24" s="375"/>
      <c r="K24" s="375"/>
      <c r="L24" s="366">
        <f>(G24-F24)+(I24-H24)+(K24-J24)</f>
        <v>0</v>
      </c>
      <c r="M24" s="382">
        <f t="shared" si="25"/>
        <v>0.31666666666666665</v>
      </c>
      <c r="N24" s="382">
        <f>IF(Mar!$H$48="x",AU24+Mar!$N$37,AU24)</f>
        <v>11.083333333333329</v>
      </c>
      <c r="O24" s="377" t="str">
        <f t="shared" si="21"/>
        <v>-</v>
      </c>
      <c r="P24" s="383">
        <f t="shared" si="22"/>
        <v>10.766666666666662</v>
      </c>
      <c r="Q24" s="364">
        <f t="shared" si="0"/>
        <v>0</v>
      </c>
      <c r="R24" s="364">
        <f t="shared" si="1"/>
        <v>0</v>
      </c>
      <c r="S24" s="364">
        <f t="shared" si="2"/>
        <v>0</v>
      </c>
      <c r="T24" s="364">
        <f t="shared" si="3"/>
        <v>0</v>
      </c>
      <c r="U24" s="366">
        <f>L24</f>
        <v>0</v>
      </c>
      <c r="V24" s="366">
        <f t="shared" si="23"/>
        <v>0</v>
      </c>
      <c r="W24" s="366">
        <f t="shared" si="24"/>
        <v>0</v>
      </c>
      <c r="X24" s="364"/>
      <c r="Y24" s="365"/>
      <c r="Z24" s="365"/>
      <c r="AA24" s="368">
        <f t="shared" si="4"/>
        <v>0</v>
      </c>
      <c r="AB24" s="368">
        <f t="shared" si="5"/>
        <v>0</v>
      </c>
      <c r="AC24" s="368">
        <f t="shared" si="26"/>
        <v>0</v>
      </c>
      <c r="AD24" s="368">
        <f t="shared" si="6"/>
        <v>0</v>
      </c>
      <c r="AE24" s="369">
        <f t="shared" si="27"/>
        <v>0</v>
      </c>
      <c r="AF24" s="368">
        <f t="shared" si="28"/>
        <v>0</v>
      </c>
      <c r="AG24" s="369">
        <f t="shared" si="29"/>
        <v>0</v>
      </c>
      <c r="AH24" s="369">
        <f t="shared" si="7"/>
        <v>0</v>
      </c>
      <c r="AI24" s="370">
        <f>IF((D24&lt;&gt;""),VLOOKUP(D24,Data!$E$36:$H$53,4),)</f>
        <v>0</v>
      </c>
      <c r="AJ24" s="370">
        <f t="shared" si="8"/>
        <v>0</v>
      </c>
      <c r="AK24" s="371">
        <f t="shared" si="9"/>
        <v>0</v>
      </c>
      <c r="AL24" s="371">
        <f t="shared" si="10"/>
        <v>0</v>
      </c>
      <c r="AM24" s="372">
        <f t="shared" si="11"/>
        <v>0</v>
      </c>
      <c r="AN24" s="370">
        <f t="shared" si="12"/>
        <v>0</v>
      </c>
      <c r="AO24" s="373">
        <f t="shared" si="13"/>
        <v>0</v>
      </c>
      <c r="AP24" s="373">
        <f t="shared" si="14"/>
        <v>0</v>
      </c>
      <c r="AQ24" s="373">
        <f t="shared" si="15"/>
        <v>0</v>
      </c>
      <c r="AR24" s="373">
        <f t="shared" si="16"/>
        <v>0</v>
      </c>
      <c r="AS24" s="371">
        <f t="shared" si="17"/>
        <v>0</v>
      </c>
      <c r="AT24" s="371">
        <f t="shared" si="18"/>
        <v>0</v>
      </c>
      <c r="AU24" s="366">
        <f>IF(Data!$H$8="x",AV24,AW24)</f>
        <v>4.1166666666666654</v>
      </c>
      <c r="AV24" s="366">
        <f t="shared" si="19"/>
        <v>2.0583333333333327</v>
      </c>
      <c r="AW24" s="366">
        <f>AW23</f>
        <v>4.1166666666666654</v>
      </c>
      <c r="AX24" s="362" t="str">
        <f t="shared" si="20"/>
        <v>Za</v>
      </c>
      <c r="AY24" s="371">
        <f>IF((R39="M5.2")*AND(R40&lt;&gt;""),VLOOKUP(R40,Barema!$BP$5:$BQ$31,2),)</f>
        <v>0</v>
      </c>
      <c r="AZ24" s="371" t="s">
        <v>17</v>
      </c>
      <c r="BA24" s="439"/>
    </row>
    <row r="25" spans="1:54" s="376" customFormat="1" x14ac:dyDescent="0.2">
      <c r="A25" s="374"/>
      <c r="B25" s="362" t="s">
        <v>173</v>
      </c>
      <c r="C25" s="363" t="s">
        <v>333</v>
      </c>
      <c r="D25" s="364"/>
      <c r="E25" s="364"/>
      <c r="F25" s="365"/>
      <c r="G25" s="365"/>
      <c r="H25" s="365"/>
      <c r="I25" s="365"/>
      <c r="J25" s="375"/>
      <c r="K25" s="375"/>
      <c r="L25" s="366">
        <f>(G25-F25)+(I25-H25)+(K25-J25)</f>
        <v>0</v>
      </c>
      <c r="M25" s="382">
        <f t="shared" si="25"/>
        <v>0.31666666666666665</v>
      </c>
      <c r="N25" s="382">
        <f>IF(Mar!$H$48="x",AU25+Mar!$N$37,AU25)</f>
        <v>11.083333333333329</v>
      </c>
      <c r="O25" s="377" t="str">
        <f t="shared" si="21"/>
        <v>-</v>
      </c>
      <c r="P25" s="383">
        <f t="shared" si="22"/>
        <v>10.766666666666662</v>
      </c>
      <c r="Q25" s="364">
        <f t="shared" si="0"/>
        <v>0</v>
      </c>
      <c r="R25" s="364">
        <f t="shared" si="1"/>
        <v>0</v>
      </c>
      <c r="S25" s="364">
        <f t="shared" si="2"/>
        <v>0</v>
      </c>
      <c r="T25" s="364">
        <f t="shared" si="3"/>
        <v>0</v>
      </c>
      <c r="U25" s="366">
        <f>L25</f>
        <v>0</v>
      </c>
      <c r="V25" s="366">
        <f t="shared" si="23"/>
        <v>0</v>
      </c>
      <c r="W25" s="366">
        <f t="shared" si="24"/>
        <v>0</v>
      </c>
      <c r="X25" s="364"/>
      <c r="Y25" s="365"/>
      <c r="Z25" s="365"/>
      <c r="AA25" s="368">
        <f t="shared" si="4"/>
        <v>0</v>
      </c>
      <c r="AB25" s="368">
        <f t="shared" si="5"/>
        <v>0</v>
      </c>
      <c r="AC25" s="368">
        <f t="shared" si="26"/>
        <v>0</v>
      </c>
      <c r="AD25" s="368">
        <f t="shared" si="6"/>
        <v>0</v>
      </c>
      <c r="AE25" s="369">
        <f t="shared" si="27"/>
        <v>0</v>
      </c>
      <c r="AF25" s="368">
        <f t="shared" si="28"/>
        <v>0</v>
      </c>
      <c r="AG25" s="369">
        <f t="shared" si="29"/>
        <v>0</v>
      </c>
      <c r="AH25" s="369">
        <f t="shared" si="7"/>
        <v>0</v>
      </c>
      <c r="AI25" s="370">
        <f>IF((D25&lt;&gt;""),VLOOKUP(D25,Data!$E$36:$H$53,4),)</f>
        <v>0</v>
      </c>
      <c r="AJ25" s="370">
        <f t="shared" si="8"/>
        <v>0</v>
      </c>
      <c r="AK25" s="371">
        <f t="shared" si="9"/>
        <v>0</v>
      </c>
      <c r="AL25" s="371">
        <f t="shared" si="10"/>
        <v>0</v>
      </c>
      <c r="AM25" s="372">
        <f t="shared" si="11"/>
        <v>0</v>
      </c>
      <c r="AN25" s="370">
        <f t="shared" si="12"/>
        <v>0</v>
      </c>
      <c r="AO25" s="373">
        <f t="shared" si="13"/>
        <v>0</v>
      </c>
      <c r="AP25" s="373">
        <f t="shared" si="14"/>
        <v>0</v>
      </c>
      <c r="AQ25" s="373">
        <f t="shared" si="15"/>
        <v>0</v>
      </c>
      <c r="AR25" s="373">
        <f t="shared" si="16"/>
        <v>0</v>
      </c>
      <c r="AS25" s="371">
        <f t="shared" si="17"/>
        <v>0</v>
      </c>
      <c r="AT25" s="371">
        <f t="shared" si="18"/>
        <v>0</v>
      </c>
      <c r="AU25" s="366">
        <f>IF(Data!$H$8="x",AV25,AW25)</f>
        <v>4.1166666666666654</v>
      </c>
      <c r="AV25" s="366">
        <f t="shared" si="19"/>
        <v>2.0583333333333327</v>
      </c>
      <c r="AW25" s="366">
        <f>AW24</f>
        <v>4.1166666666666654</v>
      </c>
      <c r="AX25" s="362" t="str">
        <f t="shared" si="20"/>
        <v>Zo</v>
      </c>
      <c r="AY25" s="371">
        <f>IF((R39="M6")*AND(R40&lt;&gt;""),VLOOKUP(R40,Barema!$BS$5:$BT$31,2),)</f>
        <v>0</v>
      </c>
      <c r="AZ25" s="371" t="s">
        <v>18</v>
      </c>
      <c r="BA25" s="439"/>
    </row>
    <row r="26" spans="1:54" s="376" customFormat="1" x14ac:dyDescent="0.2">
      <c r="A26" s="374"/>
      <c r="B26" s="6" t="s">
        <v>175</v>
      </c>
      <c r="C26" s="311" t="s">
        <v>334</v>
      </c>
      <c r="D26" s="312"/>
      <c r="E26" s="312"/>
      <c r="F26" s="274"/>
      <c r="G26" s="274"/>
      <c r="H26" s="310"/>
      <c r="I26" s="310"/>
      <c r="J26" s="336"/>
      <c r="K26" s="336"/>
      <c r="L26" s="313">
        <f>(G26-F26)+(I26-H26)+(K26-J26)+AI26+AN26</f>
        <v>0</v>
      </c>
      <c r="M26" s="338">
        <f t="shared" si="25"/>
        <v>0.31666666666666665</v>
      </c>
      <c r="N26" s="338">
        <f>IF(Mar!$H$48="x",AU26+Mar!$N$37,AU26)</f>
        <v>11.399999999999995</v>
      </c>
      <c r="O26" s="337" t="str">
        <f t="shared" si="21"/>
        <v>-</v>
      </c>
      <c r="P26" s="339">
        <f t="shared" si="22"/>
        <v>11.083333333333329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6"/>
        <v>0</v>
      </c>
      <c r="AD26" s="315">
        <f t="shared" si="6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6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4.4333333333333318</v>
      </c>
      <c r="AV26" s="313">
        <f t="shared" si="19"/>
        <v>2.2166666666666659</v>
      </c>
      <c r="AW26" s="313">
        <f>IF(D26="V",AW25,(AW25+"07:36"))</f>
        <v>4.4333333333333318</v>
      </c>
      <c r="AX26" s="6" t="str">
        <f t="shared" si="20"/>
        <v>Ma</v>
      </c>
      <c r="AY26" s="4">
        <f>IF((R39="M7")*AND(R40&lt;&gt;""),VLOOKUP(R40,Barema!$BV$5:$BW$31,2),)</f>
        <v>0</v>
      </c>
      <c r="AZ26" s="4" t="s">
        <v>19</v>
      </c>
      <c r="BA26" s="102"/>
    </row>
    <row r="27" spans="1:54" s="399" customFormat="1" x14ac:dyDescent="0.2">
      <c r="A27" s="384"/>
      <c r="B27" s="6" t="s">
        <v>177</v>
      </c>
      <c r="C27" s="311" t="s">
        <v>335</v>
      </c>
      <c r="D27" s="312"/>
      <c r="E27" s="312"/>
      <c r="F27" s="274"/>
      <c r="G27" s="274"/>
      <c r="H27" s="310"/>
      <c r="I27" s="310"/>
      <c r="J27" s="336"/>
      <c r="K27" s="336"/>
      <c r="L27" s="313">
        <f>(G27-F27)+(I27-H27)+(K27-J27)+AI27+AN27</f>
        <v>0</v>
      </c>
      <c r="M27" s="338">
        <f t="shared" si="25"/>
        <v>0.31666666666666665</v>
      </c>
      <c r="N27" s="338">
        <f>IF(Mar!$H$48="x",AU27+Mar!$N$37,AU27)</f>
        <v>11.716666666666661</v>
      </c>
      <c r="O27" s="337" t="str">
        <f t="shared" si="21"/>
        <v>-</v>
      </c>
      <c r="P27" s="339">
        <f t="shared" si="22"/>
        <v>11.399999999999995</v>
      </c>
      <c r="Q27" s="312">
        <f t="shared" si="0"/>
        <v>0</v>
      </c>
      <c r="R27" s="312">
        <f t="shared" si="1"/>
        <v>0</v>
      </c>
      <c r="S27" s="312">
        <f t="shared" si="2"/>
        <v>0</v>
      </c>
      <c r="T27" s="312">
        <f t="shared" si="3"/>
        <v>0</v>
      </c>
      <c r="U27" s="313">
        <f>IF(D27="F",L27,0)</f>
        <v>0</v>
      </c>
      <c r="V27" s="313">
        <f t="shared" si="23"/>
        <v>0</v>
      </c>
      <c r="W27" s="313">
        <f t="shared" si="24"/>
        <v>0</v>
      </c>
      <c r="X27" s="312"/>
      <c r="Y27" s="310"/>
      <c r="Z27" s="310"/>
      <c r="AA27" s="315">
        <f t="shared" si="4"/>
        <v>0</v>
      </c>
      <c r="AB27" s="315">
        <f t="shared" si="5"/>
        <v>0</v>
      </c>
      <c r="AC27" s="315">
        <f t="shared" si="26"/>
        <v>0</v>
      </c>
      <c r="AD27" s="315">
        <f t="shared" si="6"/>
        <v>0</v>
      </c>
      <c r="AE27" s="316">
        <f t="shared" si="27"/>
        <v>0</v>
      </c>
      <c r="AF27" s="315">
        <f t="shared" si="28"/>
        <v>0</v>
      </c>
      <c r="AG27" s="316">
        <f t="shared" si="29"/>
        <v>0</v>
      </c>
      <c r="AH27" s="316">
        <f t="shared" si="7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11"/>
        <v>0</v>
      </c>
      <c r="AN27" s="123">
        <f t="shared" si="12"/>
        <v>0</v>
      </c>
      <c r="AO27" s="317">
        <f t="shared" si="13"/>
        <v>0</v>
      </c>
      <c r="AP27" s="317">
        <f t="shared" si="14"/>
        <v>0</v>
      </c>
      <c r="AQ27" s="317">
        <f t="shared" si="15"/>
        <v>0</v>
      </c>
      <c r="AR27" s="317">
        <f t="shared" si="16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Di</v>
      </c>
      <c r="AY27" s="4">
        <f>IF((R39="M7bis")*AND(R40&lt;&gt;""),VLOOKUP(R40,Barema!$BY$5:$BZ$31,2),)</f>
        <v>0</v>
      </c>
      <c r="AZ27" s="4" t="s">
        <v>20</v>
      </c>
      <c r="BA27" s="102"/>
    </row>
    <row r="28" spans="1:54" x14ac:dyDescent="0.2">
      <c r="B28" s="6" t="s">
        <v>179</v>
      </c>
      <c r="C28" s="311" t="s">
        <v>336</v>
      </c>
      <c r="D28" s="312"/>
      <c r="E28" s="312"/>
      <c r="F28" s="274"/>
      <c r="G28" s="274"/>
      <c r="H28" s="310"/>
      <c r="I28" s="310"/>
      <c r="J28" s="336"/>
      <c r="K28" s="336"/>
      <c r="L28" s="313">
        <f>(G28-F28)+(I28-H28)+(K28-J28)+AI28+AN28</f>
        <v>0</v>
      </c>
      <c r="M28" s="338">
        <f>M27+L28</f>
        <v>0.31666666666666665</v>
      </c>
      <c r="N28" s="338">
        <f>IF(Mar!$H$48="x",AU28+Mar!$N$37,AU28)</f>
        <v>12.033333333333328</v>
      </c>
      <c r="O28" s="337" t="str">
        <f t="shared" si="21"/>
        <v>-</v>
      </c>
      <c r="P28" s="339">
        <f t="shared" si="22"/>
        <v>11.716666666666661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6"/>
        <v>0</v>
      </c>
      <c r="AD28" s="315">
        <f t="shared" si="6"/>
        <v>0</v>
      </c>
      <c r="AE28" s="316">
        <f t="shared" si="27"/>
        <v>0</v>
      </c>
      <c r="AF28" s="315">
        <f t="shared" si="28"/>
        <v>0</v>
      </c>
      <c r="AG28" s="316">
        <f t="shared" si="29"/>
        <v>0</v>
      </c>
      <c r="AH28" s="316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Wo</v>
      </c>
      <c r="AY28" s="4">
        <f>IF((R39="O1")*AND(R40&lt;&gt;""),VLOOKUP(R40,Barema!$Q$39:$R$65,2),)</f>
        <v>0</v>
      </c>
      <c r="AZ28" s="4" t="s">
        <v>21</v>
      </c>
      <c r="BA28" s="102"/>
    </row>
    <row r="29" spans="1:54" x14ac:dyDescent="0.2">
      <c r="B29" s="6" t="s">
        <v>167</v>
      </c>
      <c r="C29" s="311" t="s">
        <v>337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38">
        <f>M28+L29</f>
        <v>0.31666666666666665</v>
      </c>
      <c r="N29" s="338">
        <f>IF(Mar!$H$48="x",AU29+Mar!$N$37,AU29)</f>
        <v>12.349999999999994</v>
      </c>
      <c r="O29" s="337" t="str">
        <f t="shared" si="21"/>
        <v>-</v>
      </c>
      <c r="P29" s="339">
        <f t="shared" si="22"/>
        <v>12.033333333333328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6"/>
        <v>0</v>
      </c>
      <c r="AD29" s="315">
        <f t="shared" si="6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6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Do</v>
      </c>
      <c r="AY29" s="4">
        <f>IF((R39="O2")*AND(R40&lt;&gt;""),VLOOKUP(R40,Barema!$T$39:$U$65,2),)</f>
        <v>0</v>
      </c>
      <c r="AZ29" s="4" t="s">
        <v>22</v>
      </c>
      <c r="BA29" s="102"/>
    </row>
    <row r="30" spans="1:54" x14ac:dyDescent="0.2">
      <c r="B30" s="6" t="s">
        <v>169</v>
      </c>
      <c r="C30" s="311" t="s">
        <v>338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38">
        <f t="shared" si="25"/>
        <v>0.31666666666666665</v>
      </c>
      <c r="N30" s="338">
        <f>IF(Mar!$H$48="x",AU30+Mar!$N$37,AU30)</f>
        <v>12.666666666666661</v>
      </c>
      <c r="O30" s="337" t="str">
        <f t="shared" si="21"/>
        <v>-</v>
      </c>
      <c r="P30" s="339">
        <f t="shared" si="22"/>
        <v>12.349999999999994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6"/>
        <v>0</v>
      </c>
      <c r="AD30" s="315">
        <f t="shared" si="6"/>
        <v>0</v>
      </c>
      <c r="AE30" s="316">
        <f t="shared" si="27"/>
        <v>0</v>
      </c>
      <c r="AF30" s="315">
        <f t="shared" si="28"/>
        <v>0</v>
      </c>
      <c r="AG30" s="316">
        <f t="shared" si="29"/>
        <v>0</v>
      </c>
      <c r="AH30" s="316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5.6999999999999975</v>
      </c>
      <c r="AV30" s="313">
        <f t="shared" si="19"/>
        <v>2.8499999999999988</v>
      </c>
      <c r="AW30" s="313">
        <f>IF(D30="V",AW29,(AW29+"07:36"))</f>
        <v>5.6999999999999975</v>
      </c>
      <c r="AX30" s="6" t="str">
        <f t="shared" si="20"/>
        <v>Vr</v>
      </c>
      <c r="AY30" s="4">
        <f>IF((R39="O2ir")*AND(R40&lt;&gt;""),VLOOKUP(R40,Barema!$AR$39:$AS$65,2),)</f>
        <v>0</v>
      </c>
      <c r="AZ30" s="4" t="s">
        <v>30</v>
      </c>
      <c r="BA30" s="102"/>
    </row>
    <row r="31" spans="1:54" s="376" customFormat="1" x14ac:dyDescent="0.2">
      <c r="A31" s="374"/>
      <c r="B31" s="362" t="s">
        <v>171</v>
      </c>
      <c r="C31" s="363" t="s">
        <v>339</v>
      </c>
      <c r="D31" s="364"/>
      <c r="E31" s="364"/>
      <c r="F31" s="365"/>
      <c r="G31" s="365"/>
      <c r="H31" s="365"/>
      <c r="I31" s="365"/>
      <c r="J31" s="375"/>
      <c r="K31" s="375"/>
      <c r="L31" s="366">
        <f>(G31-F31)+(I31-H31)+(K31-J31)</f>
        <v>0</v>
      </c>
      <c r="M31" s="382">
        <f t="shared" si="25"/>
        <v>0.31666666666666665</v>
      </c>
      <c r="N31" s="382">
        <f>IF(Mar!$H$48="x",AU31+Mar!$N$37,AU31)</f>
        <v>12.666666666666661</v>
      </c>
      <c r="O31" s="377" t="str">
        <f t="shared" si="21"/>
        <v>-</v>
      </c>
      <c r="P31" s="383">
        <f t="shared" si="22"/>
        <v>12.349999999999994</v>
      </c>
      <c r="Q31" s="364">
        <f t="shared" si="0"/>
        <v>0</v>
      </c>
      <c r="R31" s="364">
        <f t="shared" si="1"/>
        <v>0</v>
      </c>
      <c r="S31" s="364">
        <f t="shared" si="2"/>
        <v>0</v>
      </c>
      <c r="T31" s="364">
        <f t="shared" si="3"/>
        <v>0</v>
      </c>
      <c r="U31" s="366">
        <f>L31</f>
        <v>0</v>
      </c>
      <c r="V31" s="366">
        <f t="shared" si="23"/>
        <v>0</v>
      </c>
      <c r="W31" s="366">
        <f t="shared" si="24"/>
        <v>0</v>
      </c>
      <c r="X31" s="364"/>
      <c r="Y31" s="365"/>
      <c r="Z31" s="365"/>
      <c r="AA31" s="368">
        <f t="shared" si="4"/>
        <v>0</v>
      </c>
      <c r="AB31" s="368">
        <f t="shared" si="5"/>
        <v>0</v>
      </c>
      <c r="AC31" s="368">
        <f t="shared" si="26"/>
        <v>0</v>
      </c>
      <c r="AD31" s="368">
        <f t="shared" si="6"/>
        <v>0</v>
      </c>
      <c r="AE31" s="369">
        <f t="shared" si="27"/>
        <v>0</v>
      </c>
      <c r="AF31" s="368">
        <f t="shared" si="28"/>
        <v>0</v>
      </c>
      <c r="AG31" s="369">
        <f t="shared" si="29"/>
        <v>0</v>
      </c>
      <c r="AH31" s="369">
        <f t="shared" si="7"/>
        <v>0</v>
      </c>
      <c r="AI31" s="370">
        <f>IF((D31&lt;&gt;""),VLOOKUP(D31,Data!$E$36:$H$53,4),)</f>
        <v>0</v>
      </c>
      <c r="AJ31" s="370">
        <f t="shared" si="8"/>
        <v>0</v>
      </c>
      <c r="AK31" s="371">
        <f t="shared" si="9"/>
        <v>0</v>
      </c>
      <c r="AL31" s="371">
        <f t="shared" si="10"/>
        <v>0</v>
      </c>
      <c r="AM31" s="372">
        <f t="shared" si="11"/>
        <v>0</v>
      </c>
      <c r="AN31" s="370">
        <f t="shared" si="12"/>
        <v>0</v>
      </c>
      <c r="AO31" s="373">
        <f t="shared" si="13"/>
        <v>0</v>
      </c>
      <c r="AP31" s="373">
        <f t="shared" si="14"/>
        <v>0</v>
      </c>
      <c r="AQ31" s="373">
        <f t="shared" si="15"/>
        <v>0</v>
      </c>
      <c r="AR31" s="373">
        <f t="shared" si="16"/>
        <v>0</v>
      </c>
      <c r="AS31" s="371">
        <f t="shared" si="17"/>
        <v>0</v>
      </c>
      <c r="AT31" s="371">
        <f t="shared" si="18"/>
        <v>0</v>
      </c>
      <c r="AU31" s="366">
        <f>IF(Data!$H$8="x",AV31,AW31)</f>
        <v>5.6999999999999975</v>
      </c>
      <c r="AV31" s="366">
        <f t="shared" si="19"/>
        <v>2.8499999999999988</v>
      </c>
      <c r="AW31" s="366">
        <f>AW30</f>
        <v>5.6999999999999975</v>
      </c>
      <c r="AX31" s="362" t="str">
        <f t="shared" si="20"/>
        <v>Za</v>
      </c>
      <c r="AY31" s="371">
        <f>IF((R39="O3")*AND(R40&lt;&gt;""),VLOOKUP(R40,Barema!$W$39:$X$65,2),)</f>
        <v>0</v>
      </c>
      <c r="AZ31" s="371" t="s">
        <v>23</v>
      </c>
      <c r="BA31" s="439"/>
    </row>
    <row r="32" spans="1:54" s="376" customFormat="1" x14ac:dyDescent="0.2">
      <c r="A32" s="374"/>
      <c r="B32" s="362" t="s">
        <v>173</v>
      </c>
      <c r="C32" s="363" t="s">
        <v>340</v>
      </c>
      <c r="D32" s="364"/>
      <c r="E32" s="364"/>
      <c r="F32" s="365"/>
      <c r="G32" s="365"/>
      <c r="H32" s="365"/>
      <c r="I32" s="365"/>
      <c r="J32" s="375"/>
      <c r="K32" s="375"/>
      <c r="L32" s="366">
        <f>(G32-F32)+(I32-H32)+(K32-J32)</f>
        <v>0</v>
      </c>
      <c r="M32" s="382">
        <f t="shared" si="25"/>
        <v>0.31666666666666665</v>
      </c>
      <c r="N32" s="382">
        <f>IF(Mar!$H$48="x",AU32+Mar!$N$37,AU32)</f>
        <v>12.666666666666661</v>
      </c>
      <c r="O32" s="377" t="str">
        <f t="shared" si="21"/>
        <v>-</v>
      </c>
      <c r="P32" s="383">
        <f t="shared" si="22"/>
        <v>12.349999999999994</v>
      </c>
      <c r="Q32" s="364">
        <f t="shared" si="0"/>
        <v>0</v>
      </c>
      <c r="R32" s="364">
        <f t="shared" si="1"/>
        <v>0</v>
      </c>
      <c r="S32" s="364">
        <f t="shared" si="2"/>
        <v>0</v>
      </c>
      <c r="T32" s="364">
        <f t="shared" si="3"/>
        <v>0</v>
      </c>
      <c r="U32" s="366">
        <f>L32</f>
        <v>0</v>
      </c>
      <c r="V32" s="366">
        <f t="shared" si="23"/>
        <v>0</v>
      </c>
      <c r="W32" s="366">
        <f t="shared" si="24"/>
        <v>0</v>
      </c>
      <c r="X32" s="364"/>
      <c r="Y32" s="365"/>
      <c r="Z32" s="365"/>
      <c r="AA32" s="368">
        <f t="shared" si="4"/>
        <v>0</v>
      </c>
      <c r="AB32" s="368">
        <f t="shared" si="5"/>
        <v>0</v>
      </c>
      <c r="AC32" s="368">
        <f t="shared" si="26"/>
        <v>0</v>
      </c>
      <c r="AD32" s="368">
        <f t="shared" si="6"/>
        <v>0</v>
      </c>
      <c r="AE32" s="369">
        <f t="shared" si="27"/>
        <v>0</v>
      </c>
      <c r="AF32" s="368">
        <f t="shared" si="28"/>
        <v>0</v>
      </c>
      <c r="AG32" s="369">
        <f t="shared" si="29"/>
        <v>0</v>
      </c>
      <c r="AH32" s="369">
        <f t="shared" si="7"/>
        <v>0</v>
      </c>
      <c r="AI32" s="370">
        <f>IF((D32&lt;&gt;""),VLOOKUP(D32,Data!$E$36:$H$53,4),)</f>
        <v>0</v>
      </c>
      <c r="AJ32" s="370">
        <f t="shared" si="8"/>
        <v>0</v>
      </c>
      <c r="AK32" s="371">
        <f t="shared" si="9"/>
        <v>0</v>
      </c>
      <c r="AL32" s="371">
        <f t="shared" si="10"/>
        <v>0</v>
      </c>
      <c r="AM32" s="372">
        <f t="shared" si="11"/>
        <v>0</v>
      </c>
      <c r="AN32" s="370">
        <f t="shared" si="12"/>
        <v>0</v>
      </c>
      <c r="AO32" s="373">
        <f t="shared" si="13"/>
        <v>0</v>
      </c>
      <c r="AP32" s="373">
        <f t="shared" si="14"/>
        <v>0</v>
      </c>
      <c r="AQ32" s="373">
        <f t="shared" si="15"/>
        <v>0</v>
      </c>
      <c r="AR32" s="373">
        <f t="shared" si="16"/>
        <v>0</v>
      </c>
      <c r="AS32" s="371">
        <f t="shared" si="17"/>
        <v>0</v>
      </c>
      <c r="AT32" s="371">
        <f t="shared" si="18"/>
        <v>0</v>
      </c>
      <c r="AU32" s="366">
        <f>IF(Data!$H$8="x",AV32,AW32)</f>
        <v>5.6999999999999975</v>
      </c>
      <c r="AV32" s="366">
        <f t="shared" si="19"/>
        <v>2.8499999999999988</v>
      </c>
      <c r="AW32" s="366">
        <f>AW31</f>
        <v>5.6999999999999975</v>
      </c>
      <c r="AX32" s="362" t="str">
        <f t="shared" si="20"/>
        <v>Zo</v>
      </c>
      <c r="AY32" s="371">
        <f>IF((R39="O3ir")*AND(R40&lt;&gt;""),VLOOKUP(R40,Barema!$AU$39:$AV$65,2),)</f>
        <v>0</v>
      </c>
      <c r="AZ32" s="371" t="s">
        <v>31</v>
      </c>
      <c r="BA32" s="439"/>
    </row>
    <row r="33" spans="1:54" s="376" customFormat="1" x14ac:dyDescent="0.2">
      <c r="A33" s="374"/>
      <c r="B33" s="6" t="s">
        <v>175</v>
      </c>
      <c r="C33" s="311" t="s">
        <v>341</v>
      </c>
      <c r="D33" s="312"/>
      <c r="E33" s="312"/>
      <c r="F33" s="274"/>
      <c r="G33" s="274"/>
      <c r="H33" s="310"/>
      <c r="I33" s="310"/>
      <c r="J33" s="336"/>
      <c r="K33" s="336"/>
      <c r="L33" s="313">
        <f>(G33-F33)+(I33-H33)+(K33-J33)+AI33+AN33</f>
        <v>0</v>
      </c>
      <c r="M33" s="338">
        <f t="shared" si="25"/>
        <v>0.31666666666666665</v>
      </c>
      <c r="N33" s="338">
        <f>IF(Mar!$H$48="x",AU33+Mar!$N$37,AU33)</f>
        <v>12.983333333333327</v>
      </c>
      <c r="O33" s="337" t="str">
        <f t="shared" si="21"/>
        <v>-</v>
      </c>
      <c r="P33" s="339">
        <f t="shared" si="22"/>
        <v>12.666666666666661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13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6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6.0166666666666639</v>
      </c>
      <c r="AV33" s="313">
        <f t="shared" si="19"/>
        <v>3.008333333333332</v>
      </c>
      <c r="AW33" s="313">
        <f>IF(D33="V",AW32,(AW32+"07:36"))</f>
        <v>6.0166666666666639</v>
      </c>
      <c r="AX33" s="6" t="str">
        <f t="shared" si="20"/>
        <v>Ma</v>
      </c>
      <c r="AY33" s="4">
        <f>IF((R39="O4")*AND(R40&lt;&gt;""),VLOOKUP(R40,Barema!$Z$39:$AA$65,2),)</f>
        <v>0</v>
      </c>
      <c r="AZ33" s="4" t="s">
        <v>24</v>
      </c>
      <c r="BA33" s="102"/>
    </row>
    <row r="34" spans="1:54" s="335" customFormat="1" x14ac:dyDescent="0.2">
      <c r="A34" s="302"/>
      <c r="B34" s="6" t="s">
        <v>177</v>
      </c>
      <c r="C34" s="311" t="s">
        <v>342</v>
      </c>
      <c r="D34" s="312"/>
      <c r="E34" s="312"/>
      <c r="F34" s="274"/>
      <c r="G34" s="274"/>
      <c r="H34" s="310"/>
      <c r="I34" s="310"/>
      <c r="J34" s="336"/>
      <c r="K34" s="336"/>
      <c r="L34" s="313">
        <f>(G34-F34)+(I34-H34)+(K34-J34)+AI34+AN34</f>
        <v>0</v>
      </c>
      <c r="M34" s="338">
        <f t="shared" si="25"/>
        <v>0.31666666666666665</v>
      </c>
      <c r="N34" s="338">
        <f>IF(Mar!$H$48="x",AU34+Mar!$N$37,AU34)</f>
        <v>13.299999999999994</v>
      </c>
      <c r="O34" s="337" t="str">
        <f t="shared" si="21"/>
        <v>-</v>
      </c>
      <c r="P34" s="339">
        <f t="shared" si="22"/>
        <v>12.983333333333327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13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6"/>
        <v>0</v>
      </c>
      <c r="AD34" s="315">
        <f t="shared" si="6"/>
        <v>0</v>
      </c>
      <c r="AE34" s="316">
        <f t="shared" si="27"/>
        <v>0</v>
      </c>
      <c r="AF34" s="315">
        <f t="shared" si="28"/>
        <v>0</v>
      </c>
      <c r="AG34" s="316">
        <f t="shared" si="29"/>
        <v>0</v>
      </c>
      <c r="AH34" s="316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Di</v>
      </c>
      <c r="AY34" s="4">
        <f>IF((R39="O4bis")*AND(R40&lt;&gt;""),VLOOKUP(R40,Barema!$BG$39:$BH$65,2),)</f>
        <v>0</v>
      </c>
      <c r="AZ34" s="4" t="s">
        <v>35</v>
      </c>
      <c r="BA34" s="102"/>
      <c r="BB34"/>
    </row>
    <row r="35" spans="1:54" x14ac:dyDescent="0.2">
      <c r="B35" s="6" t="s">
        <v>179</v>
      </c>
      <c r="C35" s="311" t="s">
        <v>343</v>
      </c>
      <c r="D35" s="312"/>
      <c r="E35" s="312"/>
      <c r="F35" s="274"/>
      <c r="G35" s="274"/>
      <c r="H35" s="310"/>
      <c r="I35" s="310"/>
      <c r="J35" s="336"/>
      <c r="K35" s="336"/>
      <c r="L35" s="313">
        <f>(G35-F35)+(I35-H35)+(K35-J35)+AI35+AN35</f>
        <v>0</v>
      </c>
      <c r="M35" s="338">
        <f>M34+L35</f>
        <v>0.31666666666666665</v>
      </c>
      <c r="N35" s="338">
        <f>IF(Mar!$H$48="x",AU35+Mar!$N$37,AU35)</f>
        <v>13.61666666666666</v>
      </c>
      <c r="O35" s="337" t="str">
        <f t="shared" si="21"/>
        <v>-</v>
      </c>
      <c r="P35" s="339">
        <f t="shared" si="22"/>
        <v>13.299999999999994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13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6"/>
        <v>0</v>
      </c>
      <c r="AD35" s="315">
        <f t="shared" si="6"/>
        <v>0</v>
      </c>
      <c r="AE35" s="316">
        <f t="shared" si="27"/>
        <v>0</v>
      </c>
      <c r="AF35" s="315">
        <f t="shared" si="28"/>
        <v>0</v>
      </c>
      <c r="AG35" s="316">
        <f t="shared" si="29"/>
        <v>0</v>
      </c>
      <c r="AH35" s="316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Wo</v>
      </c>
      <c r="AY35" s="4">
        <f>IF((R39="O4bis-ir")*AND(R40&lt;&gt;""),VLOOKUP(R40,Barema!$AO$39:$AP$65,2),)</f>
        <v>0</v>
      </c>
      <c r="AZ35" s="4" t="s">
        <v>29</v>
      </c>
      <c r="BA35" s="102"/>
    </row>
    <row r="36" spans="1:54" x14ac:dyDescent="0.2">
      <c r="B36" s="6" t="s">
        <v>167</v>
      </c>
      <c r="C36" s="311" t="s">
        <v>344</v>
      </c>
      <c r="D36" s="312"/>
      <c r="E36" s="312"/>
      <c r="F36" s="274"/>
      <c r="G36" s="274"/>
      <c r="H36" s="310"/>
      <c r="I36" s="310"/>
      <c r="J36" s="336"/>
      <c r="K36" s="336"/>
      <c r="L36" s="313">
        <f>(G36-F36)+(I36-H36)+(K36-J36)+AI36+AN36</f>
        <v>0</v>
      </c>
      <c r="M36" s="338">
        <f>M35+L36</f>
        <v>0.31666666666666665</v>
      </c>
      <c r="N36" s="338">
        <f>IF(Mar!$H$48="x",AU36+Mar!$N$37,AU36)</f>
        <v>13.933333333333326</v>
      </c>
      <c r="O36" s="337" t="str">
        <f t="shared" si="21"/>
        <v>-</v>
      </c>
      <c r="P36" s="339">
        <f t="shared" si="22"/>
        <v>13.61666666666666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13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6"/>
        <v>0</v>
      </c>
      <c r="AD36" s="315">
        <f t="shared" si="6"/>
        <v>0</v>
      </c>
      <c r="AE36" s="316">
        <f t="shared" si="27"/>
        <v>0</v>
      </c>
      <c r="AF36" s="315">
        <f t="shared" si="28"/>
        <v>0</v>
      </c>
      <c r="AG36" s="316">
        <f t="shared" si="29"/>
        <v>0</v>
      </c>
      <c r="AH36" s="316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Do</v>
      </c>
      <c r="AY36" s="4">
        <f>IF((R39="O4ir")*AND(R40&lt;&gt;""),VLOOKUP(R40,Barema!$AX$39:$AY$65,2),)</f>
        <v>0</v>
      </c>
      <c r="AZ36" s="4" t="s">
        <v>32</v>
      </c>
      <c r="BA36" s="102"/>
    </row>
    <row r="37" spans="1:54" x14ac:dyDescent="0.2">
      <c r="M37" s="4"/>
      <c r="AB37" s="123">
        <f t="shared" ref="AB37:AI37" si="30">SUM(AA7:AA36)</f>
        <v>0</v>
      </c>
      <c r="AC37" s="123">
        <f t="shared" si="30"/>
        <v>0</v>
      </c>
      <c r="AD37" s="123">
        <f t="shared" si="30"/>
        <v>0</v>
      </c>
      <c r="AE37" s="123">
        <f t="shared" si="30"/>
        <v>0</v>
      </c>
      <c r="AF37" s="123">
        <f t="shared" si="30"/>
        <v>0</v>
      </c>
      <c r="AG37" s="123">
        <f t="shared" si="30"/>
        <v>0</v>
      </c>
      <c r="AH37" s="152">
        <f t="shared" si="30"/>
        <v>0</v>
      </c>
      <c r="AI37" s="152">
        <f t="shared" si="30"/>
        <v>0</v>
      </c>
      <c r="AK37" s="123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52"/>
      <c r="AW37" s="152"/>
      <c r="AY37" s="4">
        <f>IF((R39="O5")*AND(R40&lt;&gt;""),VLOOKUP(R40,Barema!$AC$39:$AD$65,2),)</f>
        <v>0</v>
      </c>
      <c r="AZ37" s="4" t="s">
        <v>25</v>
      </c>
      <c r="BB37" s="4"/>
    </row>
    <row r="38" spans="1:54" x14ac:dyDescent="0.2">
      <c r="C38" s="166" t="s">
        <v>92</v>
      </c>
      <c r="D38" s="24"/>
      <c r="E38" s="24"/>
      <c r="F38" s="24"/>
      <c r="G38" s="24"/>
      <c r="H38" s="24"/>
      <c r="I38" s="4"/>
      <c r="W38" s="70"/>
      <c r="X38" s="70"/>
      <c r="Z38" s="74" t="s">
        <v>205</v>
      </c>
      <c r="AA38" s="260" t="s">
        <v>206</v>
      </c>
      <c r="AB38" s="123">
        <f t="shared" ref="AB38:AI38" si="31">IF((MINUTE(AB37)&gt;=30),(AB37+0.041666667),AB37)</f>
        <v>0</v>
      </c>
      <c r="AC38" s="123">
        <f t="shared" si="31"/>
        <v>0</v>
      </c>
      <c r="AD38" s="123">
        <f t="shared" si="31"/>
        <v>0</v>
      </c>
      <c r="AE38" s="123">
        <f t="shared" si="31"/>
        <v>0</v>
      </c>
      <c r="AF38" s="123">
        <f t="shared" si="31"/>
        <v>0</v>
      </c>
      <c r="AG38" s="123">
        <f t="shared" si="31"/>
        <v>0</v>
      </c>
      <c r="AH38" s="152">
        <f t="shared" si="31"/>
        <v>0</v>
      </c>
      <c r="AI38" s="152">
        <f t="shared" si="31"/>
        <v>0</v>
      </c>
      <c r="AK38" s="123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SUM(AT7:AT37)+AT38</f>
        <v>0</v>
      </c>
      <c r="AY38" s="4">
        <f>IF((R39="O5ir")*AND(R40&lt;&gt;""),VLOOKUP(R40,Barema!$BA$39:$BB$65,2),)</f>
        <v>0</v>
      </c>
      <c r="AZ38" s="4" t="s">
        <v>33</v>
      </c>
      <c r="BB38" s="4"/>
    </row>
    <row r="39" spans="1:54" x14ac:dyDescent="0.2">
      <c r="B39" s="4"/>
      <c r="C39" s="42" t="s">
        <v>207</v>
      </c>
      <c r="D39" s="43"/>
      <c r="E39" s="43"/>
      <c r="F39" s="43"/>
      <c r="G39" s="44"/>
      <c r="H39" s="28">
        <f>Mar!$H$45</f>
        <v>36</v>
      </c>
      <c r="I39" s="4"/>
      <c r="J39" s="9" t="s">
        <v>345</v>
      </c>
      <c r="K39" s="10"/>
      <c r="L39" s="11"/>
      <c r="M39" s="10"/>
      <c r="N39" s="10"/>
      <c r="O39" s="10"/>
      <c r="P39" s="11"/>
      <c r="Q39" s="11"/>
      <c r="R39" s="441" t="s">
        <v>14</v>
      </c>
      <c r="S39" s="442"/>
      <c r="T39" s="319" t="s">
        <v>696</v>
      </c>
      <c r="U39" s="320"/>
      <c r="V39" s="321"/>
      <c r="W39" s="107"/>
      <c r="X39" s="1"/>
      <c r="Z39" s="132">
        <v>2.1223000000000001</v>
      </c>
      <c r="AA39" s="261">
        <f>Z39</f>
        <v>2.1223000000000001</v>
      </c>
      <c r="AB39" s="123">
        <f t="shared" ref="AB39:AI39" si="32">IF(MINUTE(AB38)&gt;0,FLOOR(AB38,0.041666667),AB38)</f>
        <v>0</v>
      </c>
      <c r="AC39" s="123">
        <f t="shared" si="32"/>
        <v>0</v>
      </c>
      <c r="AD39" s="123">
        <f t="shared" si="32"/>
        <v>0</v>
      </c>
      <c r="AE39" s="123">
        <f t="shared" si="32"/>
        <v>0</v>
      </c>
      <c r="AF39" s="123">
        <f t="shared" si="32"/>
        <v>0</v>
      </c>
      <c r="AG39" s="123">
        <f t="shared" si="32"/>
        <v>0</v>
      </c>
      <c r="AH39" s="152">
        <f t="shared" si="32"/>
        <v>0</v>
      </c>
      <c r="AI39" s="152">
        <f t="shared" si="32"/>
        <v>0</v>
      </c>
      <c r="AK39" s="140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IF((R39="O6")*AND(R40&lt;&gt;""),VLOOKUP(R40,Barema!$AF$39:$AG$65,2),)</f>
        <v>0</v>
      </c>
      <c r="AZ39" s="4" t="s">
        <v>26</v>
      </c>
      <c r="BB39" s="4"/>
    </row>
    <row r="40" spans="1:54" ht="13.5" thickBot="1" x14ac:dyDescent="0.25">
      <c r="B40" s="4"/>
      <c r="C40" s="42" t="s">
        <v>210</v>
      </c>
      <c r="D40" s="43"/>
      <c r="E40" s="43"/>
      <c r="F40" s="43"/>
      <c r="G40" s="144" t="s">
        <v>211</v>
      </c>
      <c r="H40" s="81">
        <v>0</v>
      </c>
      <c r="I40" s="4"/>
      <c r="J40" s="12" t="s">
        <v>346</v>
      </c>
      <c r="K40" s="13"/>
      <c r="L40" s="14"/>
      <c r="M40" s="13"/>
      <c r="N40" s="13"/>
      <c r="O40" s="13"/>
      <c r="P40" s="14"/>
      <c r="Q40" s="14"/>
      <c r="R40" s="443">
        <v>22</v>
      </c>
      <c r="S40" s="444"/>
      <c r="T40" s="328">
        <f>AY55</f>
        <v>32086.02</v>
      </c>
      <c r="U40" s="330"/>
      <c r="V40" s="331"/>
      <c r="W40" s="318"/>
      <c r="X40" s="318"/>
      <c r="Z40" s="1"/>
      <c r="AA40" s="1"/>
      <c r="AB40" s="4">
        <f>COUNTIF(AK7:AK36,"1")</f>
        <v>0</v>
      </c>
      <c r="AG40" s="88"/>
      <c r="AH40" s="10" t="s">
        <v>217</v>
      </c>
      <c r="AI40" s="10"/>
      <c r="AJ40" s="89"/>
      <c r="AK40" s="78" t="s">
        <v>219</v>
      </c>
      <c r="AL40" s="10"/>
      <c r="AM40" s="18"/>
      <c r="AN40" s="89"/>
      <c r="AP40" s="4"/>
      <c r="AQ40" s="4"/>
      <c r="AR40" s="4"/>
      <c r="AS40" s="4"/>
      <c r="AT40" s="4"/>
      <c r="AU40" s="4"/>
      <c r="AY40" s="4">
        <f>IF((R39="O6ir")*AND(R40&lt;&gt;""),VLOOKUP(R40,Barema!$BD$39:$BE$65,2),)</f>
        <v>0</v>
      </c>
      <c r="AZ40" s="4" t="s">
        <v>34</v>
      </c>
      <c r="BB40" s="4"/>
    </row>
    <row r="41" spans="1:54" ht="13.5" thickTop="1" x14ac:dyDescent="0.2">
      <c r="B41" s="4"/>
      <c r="C41" s="308" t="s">
        <v>695</v>
      </c>
      <c r="D41" s="146"/>
      <c r="E41" s="146"/>
      <c r="F41" s="100"/>
      <c r="G41" s="147" t="s">
        <v>211</v>
      </c>
      <c r="H41" s="79">
        <f>AN38</f>
        <v>0</v>
      </c>
      <c r="I41" s="15"/>
      <c r="J41" s="15" t="s">
        <v>213</v>
      </c>
      <c r="K41" s="4"/>
      <c r="L41" s="63"/>
      <c r="M41" s="275">
        <f>AK39</f>
        <v>0</v>
      </c>
      <c r="N41" s="4" t="s">
        <v>214</v>
      </c>
      <c r="O41" s="54"/>
      <c r="P41" s="1"/>
      <c r="Q41" s="63"/>
      <c r="R41" s="1"/>
      <c r="S41" s="15"/>
      <c r="T41" s="54"/>
      <c r="U41" s="325">
        <f>(M41*AK42/0.041666667)</f>
        <v>0</v>
      </c>
      <c r="V41" s="19" t="s">
        <v>215</v>
      </c>
      <c r="W41" s="106"/>
      <c r="X41" s="1"/>
      <c r="Y41" s="134" t="s">
        <v>216</v>
      </c>
      <c r="Z41" s="135"/>
      <c r="AB41" s="4">
        <f>COUNTIF(AK7:AK36,"2")</f>
        <v>0</v>
      </c>
      <c r="AC41" s="4">
        <v>0.625</v>
      </c>
      <c r="AD41" s="8" t="s">
        <v>347</v>
      </c>
      <c r="AG41" s="15"/>
      <c r="AH41" s="4">
        <f>X40*1.2434/1850</f>
        <v>0</v>
      </c>
      <c r="AI41" s="4"/>
      <c r="AJ41" s="33"/>
      <c r="AK41" s="15">
        <f>T40*AA39/1850</f>
        <v>36.808735268108109</v>
      </c>
      <c r="AL41" s="4" t="s">
        <v>218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IF((R39="O7")*AND(R40&lt;&gt;""),VLOOKUP(R40,Barema!$AI$39:$AJ$68,2),)</f>
        <v>0</v>
      </c>
      <c r="AZ41" s="4" t="s">
        <v>27</v>
      </c>
      <c r="BB41" s="2"/>
    </row>
    <row r="42" spans="1:54" x14ac:dyDescent="0.2">
      <c r="B42" s="4"/>
      <c r="C42" s="42" t="s">
        <v>220</v>
      </c>
      <c r="D42" s="43"/>
      <c r="E42" s="43"/>
      <c r="F42" s="43"/>
      <c r="G42" s="144" t="s">
        <v>221</v>
      </c>
      <c r="H42" s="28">
        <f>AB40+(AB41/2)+(AB42/2)</f>
        <v>0</v>
      </c>
      <c r="I42" s="4"/>
      <c r="J42" s="15" t="s">
        <v>224</v>
      </c>
      <c r="M42" s="141">
        <f>AF39</f>
        <v>0</v>
      </c>
      <c r="N42" s="4" t="s">
        <v>214</v>
      </c>
      <c r="O42" s="4"/>
      <c r="P42" s="4"/>
      <c r="Q42" s="4"/>
      <c r="R42" s="4"/>
      <c r="S42" s="15"/>
      <c r="T42" s="54"/>
      <c r="U42" s="325">
        <f>(M42*AK51/0.041666667)</f>
        <v>0</v>
      </c>
      <c r="V42" s="19" t="s">
        <v>215</v>
      </c>
      <c r="W42" s="106"/>
      <c r="X42" s="1"/>
      <c r="Y42" s="136" t="s">
        <v>222</v>
      </c>
      <c r="Z42" s="137"/>
      <c r="AB42" s="4">
        <f>COUNTIF(AK7:AK36,"7")</f>
        <v>0</v>
      </c>
      <c r="AF42" s="4" t="e">
        <f>M44*78</f>
        <v>#VALUE!</v>
      </c>
      <c r="AG42" s="198" t="s">
        <v>122</v>
      </c>
      <c r="AH42" s="4">
        <f>AH41*0.9645*AK48/100*1.45</f>
        <v>0</v>
      </c>
      <c r="AI42" s="4"/>
      <c r="AJ42" s="33"/>
      <c r="AK42" s="197">
        <f>(AK41*0.9645)*AK48/100</f>
        <v>16.508441702231977</v>
      </c>
      <c r="AL42" s="17" t="s">
        <v>223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IF((R39="O8")*AND(R40&lt;&gt;""),VLOOKUP(R40,Barema!$AL$39:$AM$68,2),)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228</v>
      </c>
      <c r="M43" s="141">
        <f>AG39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(M43*AK52/0.041666667)</f>
        <v>0</v>
      </c>
      <c r="V43" s="19" t="s">
        <v>215</v>
      </c>
      <c r="W43" s="106"/>
      <c r="X43" s="1"/>
      <c r="Y43" s="139">
        <f>AK47</f>
        <v>53.5</v>
      </c>
      <c r="Z43" s="138"/>
      <c r="AB43" s="4" t="s">
        <v>348</v>
      </c>
      <c r="AC43" s="4"/>
      <c r="AF43" s="4" t="e">
        <f>M45*23</f>
        <v>#VALUE!</v>
      </c>
      <c r="AG43" s="16" t="s">
        <v>225</v>
      </c>
      <c r="AH43" s="17">
        <f>(W40*1.2434/1850)*0.009645*AK48</f>
        <v>0</v>
      </c>
      <c r="AI43" s="17"/>
      <c r="AJ43" s="40"/>
      <c r="AK43" s="4">
        <v>1.24</v>
      </c>
      <c r="AL43" s="4" t="s">
        <v>226</v>
      </c>
      <c r="AP43" s="4"/>
      <c r="AQ43" s="4"/>
      <c r="AR43" s="4"/>
      <c r="AS43" s="4"/>
      <c r="AT43" s="4"/>
      <c r="AU43" s="4"/>
      <c r="AY43" s="17">
        <f>IF((R39="HAU4")*AND(R40&lt;&gt;""),VLOOKUP(R40,Barema!$BJ$39:$BK$65,2),)</f>
        <v>0</v>
      </c>
      <c r="AZ43" s="17" t="s">
        <v>705</v>
      </c>
      <c r="BB43" s="2"/>
    </row>
    <row r="44" spans="1:54" x14ac:dyDescent="0.2">
      <c r="C44" s="48" t="s">
        <v>227</v>
      </c>
      <c r="D44" s="49"/>
      <c r="E44" s="49"/>
      <c r="F44" s="49"/>
      <c r="G44" s="50"/>
      <c r="H44" s="52">
        <f>H39-H42+H40+H41</f>
        <v>36</v>
      </c>
      <c r="J44" s="15" t="str">
        <f>IF(Jan!AH49=2,"Middagmaal","")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"/>
      <c r="S44" s="15"/>
      <c r="T44" s="54"/>
      <c r="U44" s="325" t="str">
        <f>IF(Jan!AH49=2,(M44*AK44*AA39+(R44*AA39*6.2)),"")</f>
        <v/>
      </c>
      <c r="V44" s="19" t="str">
        <f>IF(Jan!AH49=2,"€","")</f>
        <v/>
      </c>
      <c r="W44" s="106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4"/>
      <c r="AH44" s="4"/>
      <c r="AI44" s="4"/>
      <c r="AK44" s="4">
        <v>2.48</v>
      </c>
      <c r="AL44" s="4" t="s">
        <v>161</v>
      </c>
      <c r="AY44" s="17">
        <f>IF((R39="BAGP1")*AND(R40&lt;&gt;""),VLOOKUP(R40,Barema!$Q$5:$R$31,2),)</f>
        <v>0</v>
      </c>
      <c r="AZ44" s="17" t="s">
        <v>710</v>
      </c>
      <c r="BB44" s="2"/>
    </row>
    <row r="45" spans="1:54" x14ac:dyDescent="0.2">
      <c r="J45" s="15" t="str">
        <f>IF(Jan!AH49=2,"Avondmaal","")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IF(Jan!AH49=2,(M45*AK45*AA39+(R45*AA39*6.2)),"")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162</v>
      </c>
      <c r="AY45" s="17">
        <f>IF((R39="BAGP2")*AND(R40&lt;&gt;""),VLOOKUP(R40,Barema!$T$5:$U$31,2),)</f>
        <v>0</v>
      </c>
      <c r="AZ45" s="4" t="s">
        <v>711</v>
      </c>
      <c r="BB45" s="2"/>
    </row>
    <row r="46" spans="1:54" ht="12.75" customHeight="1" x14ac:dyDescent="0.2">
      <c r="C46" s="166" t="s">
        <v>230</v>
      </c>
      <c r="F46" s="4"/>
      <c r="G46" s="74" t="s">
        <v>231</v>
      </c>
      <c r="H46" s="74" t="s">
        <v>232</v>
      </c>
      <c r="J46" s="15" t="str">
        <f>IF(Jan!AH49=2,"Nachtmaal","")</f>
        <v/>
      </c>
      <c r="L46" s="103"/>
      <c r="M46" s="65" t="str">
        <f>IF(Jan!AH49=2,COUNTIF(S7:S36,"1"),"")</f>
        <v/>
      </c>
      <c r="N46" s="4"/>
      <c r="O46" s="4"/>
      <c r="P46" s="4"/>
      <c r="Q46" s="4"/>
      <c r="R46" s="19"/>
      <c r="S46" s="4"/>
      <c r="T46" s="80"/>
      <c r="U46" s="325" t="str">
        <f>IF(Jan!AH49=2,(M46*AK46*AA39+(R46*AA39*3.48)),"")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233</v>
      </c>
      <c r="AY46" s="17">
        <f>IF((R39="BAGP3")*AND(R40&lt;&gt;""),VLOOKUP(R40,Barema!$W$5:$X$31,2),)</f>
        <v>0</v>
      </c>
      <c r="AZ46" s="4" t="s">
        <v>712</v>
      </c>
      <c r="BB46" s="2"/>
    </row>
    <row r="47" spans="1:54" x14ac:dyDescent="0.2">
      <c r="C47" s="24" t="s">
        <v>234</v>
      </c>
      <c r="G47" s="92" t="s">
        <v>690</v>
      </c>
      <c r="H47" s="92"/>
      <c r="J47" s="15" t="str">
        <f>IF(Jan!AH49=2,"Morgenmaal","")</f>
        <v/>
      </c>
      <c r="L47" s="103"/>
      <c r="M47" s="65" t="str">
        <f>IF(Jan!AH49=2,COUNTIF(T7:T36,"1"),"")</f>
        <v/>
      </c>
      <c r="N47" s="4"/>
      <c r="O47" s="4"/>
      <c r="P47" s="4"/>
      <c r="Q47" s="4"/>
      <c r="R47" s="19"/>
      <c r="S47" s="4"/>
      <c r="T47" s="80"/>
      <c r="U47" s="325" t="str">
        <f>IF(Jan!AH49=2,(M47*AK43*AA39+(R47*AA39*2.48)),"")</f>
        <v/>
      </c>
      <c r="V47" s="19" t="str">
        <f>IF(Jan!AH49=2,"€","")</f>
        <v/>
      </c>
      <c r="W47" s="106"/>
      <c r="X47" s="1"/>
      <c r="AB47" s="4"/>
      <c r="AG47" s="4"/>
      <c r="AH47" s="4"/>
      <c r="AI47" s="4"/>
      <c r="AK47" s="4">
        <f>VLOOKUP(AS47,Data!$F$80:$H$91,3)</f>
        <v>53.5</v>
      </c>
      <c r="AL47" s="4" t="s">
        <v>235</v>
      </c>
      <c r="AP47" s="256">
        <f>T40*Z39</f>
        <v>68096.160245999999</v>
      </c>
      <c r="AQ47" s="2">
        <f>AP47*0.075</f>
        <v>5107.21201845</v>
      </c>
      <c r="AR47" s="2">
        <f>AP47*0.0355</f>
        <v>2417.4136887329996</v>
      </c>
      <c r="AS47" s="142">
        <f>AP47-AQ47-AR47</f>
        <v>60571.534538816995</v>
      </c>
      <c r="AY47" s="17">
        <f>IF((R39="BAGP4")*AND(R40&lt;&gt;""),VLOOKUP(R40,Barema!$BJ$39:$BK$65,2),)</f>
        <v>0</v>
      </c>
      <c r="AZ47" s="4" t="s">
        <v>713</v>
      </c>
      <c r="BB47" s="2"/>
    </row>
    <row r="48" spans="1:54" x14ac:dyDescent="0.2">
      <c r="I48" s="4"/>
      <c r="J48" s="15" t="s">
        <v>238</v>
      </c>
      <c r="K48" s="4"/>
      <c r="L48" s="4"/>
      <c r="M48" s="141">
        <f>IF(AND(G47="x",O36="+",AB44&gt;=0),AB48,0)</f>
        <v>0</v>
      </c>
      <c r="N48" s="4" t="s">
        <v>214</v>
      </c>
      <c r="O48" s="54"/>
      <c r="P48" s="1"/>
      <c r="Q48" s="1"/>
      <c r="R48" s="1"/>
      <c r="S48" s="15"/>
      <c r="T48" s="54"/>
      <c r="U48" s="325">
        <f>(M48*AK42/0.041666667)</f>
        <v>0</v>
      </c>
      <c r="V48" s="19" t="s">
        <v>215</v>
      </c>
      <c r="W48" s="106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236</v>
      </c>
      <c r="AY48" s="17">
        <f>IF((R39="BASP1")*AND(R40&lt;&gt;""),VLOOKUP(R40,Barema!$BM$39:$BN$69,2),)</f>
        <v>0</v>
      </c>
      <c r="AZ48" s="4" t="s">
        <v>706</v>
      </c>
      <c r="BB48" s="2"/>
    </row>
    <row r="49" spans="3:54" x14ac:dyDescent="0.2">
      <c r="C49" s="4" t="s">
        <v>237</v>
      </c>
      <c r="F49" s="4"/>
      <c r="G49" s="4"/>
      <c r="H49" s="4"/>
      <c r="I49" s="4"/>
      <c r="J49" s="15" t="s">
        <v>240</v>
      </c>
      <c r="K49" s="4"/>
      <c r="L49" s="4"/>
      <c r="M49" s="118">
        <f>AM37</f>
        <v>0</v>
      </c>
      <c r="N49" s="4" t="s">
        <v>241</v>
      </c>
      <c r="O49" s="80"/>
      <c r="P49" s="1"/>
      <c r="Q49" s="1"/>
      <c r="R49" s="1"/>
      <c r="S49" s="15"/>
      <c r="T49" s="80"/>
      <c r="U49" s="325">
        <f>AM38</f>
        <v>0</v>
      </c>
      <c r="V49" s="19" t="s">
        <v>215</v>
      </c>
      <c r="W49" s="106"/>
      <c r="X49" s="1"/>
      <c r="AF49" s="4"/>
      <c r="AG49" s="4"/>
      <c r="AH49" s="4"/>
      <c r="AI49" s="4"/>
      <c r="AL49" s="4" t="s">
        <v>349</v>
      </c>
      <c r="AY49" s="17">
        <f>IF((R39="BASP2")*AND(R40&lt;&gt;""),VLOOKUP(R40,Barema!$BP$39:$BQ$69,2),)</f>
        <v>0</v>
      </c>
      <c r="AZ49" s="4" t="s">
        <v>707</v>
      </c>
      <c r="BB49" s="2"/>
    </row>
    <row r="50" spans="3:54" x14ac:dyDescent="0.2">
      <c r="C50" s="4" t="s">
        <v>239</v>
      </c>
      <c r="F50" s="4"/>
      <c r="G50" s="133">
        <v>0</v>
      </c>
      <c r="H50" s="4"/>
      <c r="I50" s="4"/>
      <c r="J50" s="15" t="s">
        <v>244</v>
      </c>
      <c r="K50" s="1"/>
      <c r="L50" s="4"/>
      <c r="M50" s="65">
        <f>SUM(X7:X36)</f>
        <v>0</v>
      </c>
      <c r="N50" s="4" t="s">
        <v>245</v>
      </c>
      <c r="O50" s="4"/>
      <c r="P50" s="4"/>
      <c r="Q50" s="4"/>
      <c r="R50" s="4"/>
      <c r="S50" s="15"/>
      <c r="T50" s="120"/>
      <c r="U50" s="325">
        <f>(M50*Data!$S$13)</f>
        <v>0</v>
      </c>
      <c r="V50" s="19" t="s">
        <v>215</v>
      </c>
      <c r="W50" s="106"/>
      <c r="X50" s="1"/>
      <c r="AB50" s="4"/>
      <c r="AC50" s="4"/>
      <c r="AD50" s="4"/>
      <c r="AE50" s="4"/>
      <c r="AF50" s="4"/>
      <c r="AG50" s="4" t="s">
        <v>153</v>
      </c>
      <c r="AH50" s="4">
        <f>AH41*0.00325*0.9645*AK48</f>
        <v>0</v>
      </c>
      <c r="AI50" s="4"/>
      <c r="AY50" s="17">
        <f>IF((R39="BASP3")*AND(R40&lt;&gt;""),VLOOKUP(R40,Barema!$BS$39:$BT$69,2),)</f>
        <v>0</v>
      </c>
      <c r="AZ50" s="4" t="s">
        <v>708</v>
      </c>
      <c r="BB50" s="2"/>
    </row>
    <row r="51" spans="3:54" x14ac:dyDescent="0.2">
      <c r="C51" s="166" t="s">
        <v>243</v>
      </c>
      <c r="F51" s="4"/>
      <c r="G51" s="4"/>
      <c r="H51" s="4"/>
      <c r="I51" s="4"/>
      <c r="J51" s="15" t="s">
        <v>247</v>
      </c>
      <c r="K51" s="4"/>
      <c r="L51" s="4"/>
      <c r="M51" s="141">
        <f>AH54</f>
        <v>0</v>
      </c>
      <c r="N51" s="4" t="s">
        <v>214</v>
      </c>
      <c r="O51" s="4"/>
      <c r="P51" s="4"/>
      <c r="Q51" s="4"/>
      <c r="R51" s="4"/>
      <c r="S51" s="15"/>
      <c r="T51" s="80"/>
      <c r="U51" s="325">
        <f>(M51*AK54/0.041666667)</f>
        <v>0</v>
      </c>
      <c r="V51" s="19" t="s">
        <v>215</v>
      </c>
      <c r="W51" s="106"/>
      <c r="X51" s="1"/>
      <c r="AB51" s="4"/>
      <c r="AC51" s="4"/>
      <c r="AD51" s="4"/>
      <c r="AE51" s="4"/>
      <c r="AF51" s="4"/>
      <c r="AG51" s="4"/>
      <c r="AK51" s="62">
        <f>AK42/100*20</f>
        <v>3.3016883404463955</v>
      </c>
      <c r="AL51" s="4" t="s">
        <v>242</v>
      </c>
      <c r="AY51" s="17">
        <f>IF((R39="BASP4")*AND(R40&lt;&gt;""),VLOOKUP(R40,Barema!$BV$39:$BW$69,2),)</f>
        <v>0</v>
      </c>
      <c r="AZ51" s="4" t="s">
        <v>709</v>
      </c>
      <c r="BB51" s="2"/>
    </row>
    <row r="52" spans="3:54" x14ac:dyDescent="0.2">
      <c r="C52" s="4"/>
      <c r="F52" s="4"/>
      <c r="G52" s="4"/>
      <c r="H52" s="4"/>
      <c r="I52" s="4"/>
      <c r="J52" s="15" t="s">
        <v>249</v>
      </c>
      <c r="K52" s="4"/>
      <c r="L52" s="4"/>
      <c r="M52" s="141">
        <f>AH55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(M52*AK55/0.041666667)</f>
        <v>0</v>
      </c>
      <c r="V52" s="19" t="s">
        <v>215</v>
      </c>
      <c r="W52" s="106"/>
      <c r="X52" s="1"/>
      <c r="AK52" s="62">
        <f>AK42/100*35</f>
        <v>5.7779545957811917</v>
      </c>
      <c r="AL52" s="4" t="s">
        <v>246</v>
      </c>
      <c r="BB52" s="2"/>
    </row>
    <row r="53" spans="3:54" x14ac:dyDescent="0.2">
      <c r="C53" s="24" t="s">
        <v>248</v>
      </c>
      <c r="F53" s="4"/>
      <c r="G53" s="4"/>
      <c r="H53" s="4"/>
      <c r="J53" s="16" t="s">
        <v>250</v>
      </c>
      <c r="K53" s="17"/>
      <c r="L53" s="17"/>
      <c r="M53" s="203">
        <f>AU38</f>
        <v>0</v>
      </c>
      <c r="N53" s="17" t="s">
        <v>241</v>
      </c>
      <c r="O53" s="17"/>
      <c r="P53" s="17"/>
      <c r="Q53" s="17"/>
      <c r="R53" s="17"/>
      <c r="S53" s="16"/>
      <c r="T53" s="17"/>
      <c r="U53" s="326">
        <f>(M53*(2.81*AA39))/100*(100-Y43)</f>
        <v>0</v>
      </c>
      <c r="V53" s="20" t="s">
        <v>215</v>
      </c>
      <c r="W53" s="106"/>
      <c r="X53" s="1"/>
      <c r="AK53" s="142"/>
      <c r="BB53" s="2"/>
    </row>
    <row r="54" spans="3:54" x14ac:dyDescent="0.2">
      <c r="C54" s="24" t="s">
        <v>239</v>
      </c>
      <c r="F54" s="4"/>
      <c r="G54" s="121">
        <v>0</v>
      </c>
      <c r="H54" s="4"/>
      <c r="L54" s="70" t="s">
        <v>130</v>
      </c>
      <c r="M54" s="70"/>
      <c r="N54" s="16"/>
      <c r="O54" s="71"/>
      <c r="P54" s="64"/>
      <c r="Q54" s="64"/>
      <c r="R54" s="64"/>
      <c r="S54" s="16"/>
      <c r="T54" s="72"/>
      <c r="U54" s="326">
        <f>SUM(U41:U53)</f>
        <v>0</v>
      </c>
      <c r="V54" s="20" t="s">
        <v>215</v>
      </c>
      <c r="W54" s="106"/>
      <c r="X54" s="1"/>
      <c r="AE54" s="199">
        <f>SUM(Y7:Y36)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AK42/24</f>
        <v>0.687851737592999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166" t="s">
        <v>243</v>
      </c>
      <c r="E55" s="4"/>
      <c r="F55" s="1"/>
      <c r="G55" s="4"/>
      <c r="H55" s="4"/>
      <c r="W55" s="106"/>
      <c r="X55" s="1"/>
      <c r="AE55" s="200">
        <f>SUM(Z7:Z36)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AK42/15</f>
        <v>1.1005627801487985</v>
      </c>
      <c r="AL55" s="17" t="s">
        <v>251</v>
      </c>
      <c r="AM55" s="17"/>
      <c r="AN55" s="17"/>
      <c r="AO55" s="17"/>
      <c r="AP55" s="83"/>
      <c r="AY55" s="4">
        <f>SUM(AY7:AY53)</f>
        <v>32086.02</v>
      </c>
      <c r="BB55" s="2"/>
    </row>
    <row r="58" spans="3:54" x14ac:dyDescent="0.2">
      <c r="J58" s="4"/>
      <c r="K58" s="4"/>
      <c r="L58" s="70"/>
      <c r="M58" s="70"/>
      <c r="N58" s="4"/>
      <c r="R58" s="4"/>
      <c r="S58" s="1"/>
      <c r="T58" s="1"/>
      <c r="U58" s="4"/>
      <c r="V58" s="4"/>
    </row>
    <row r="59" spans="3:54" x14ac:dyDescent="0.2">
      <c r="E59" s="4"/>
      <c r="F59" s="1"/>
      <c r="G59" s="4"/>
      <c r="H59" s="4"/>
      <c r="I59" s="4"/>
      <c r="J59" s="4"/>
      <c r="K59" s="4"/>
      <c r="L59" s="70"/>
      <c r="M59" s="70"/>
      <c r="N59" s="4"/>
      <c r="R59" s="4"/>
      <c r="S59" s="1"/>
      <c r="T59" s="1"/>
      <c r="U59" s="4"/>
      <c r="V59" s="4"/>
      <c r="W59" s="54"/>
      <c r="X59" s="2"/>
    </row>
    <row r="60" spans="3:54" x14ac:dyDescent="0.2">
      <c r="E60" s="4"/>
      <c r="F60" s="1"/>
      <c r="G60" s="4"/>
      <c r="H60" s="4"/>
      <c r="I60" s="4"/>
      <c r="W60" s="62"/>
      <c r="X60" s="4"/>
    </row>
  </sheetData>
  <sheetProtection algorithmName="SHA-512" hashValue="YcFbSq7goiNKjV0z6R3xbwKiQuXqHzv/RzmSx3+35512NWd9s4O48g8kLv5wir6Y8gvwjVny4IhdWslIDLG5vg==" saltValue="OGa3hC9gEr5YUU0o2/5QAw==" spinCount="100000" sheet="1" objects="1" scenarios="1"/>
  <dataConsolidate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2" fitToWidth="0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10" sqref="F10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5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L4" s="2"/>
      <c r="M4" s="259">
        <f>Apr!$G$54</f>
        <v>0</v>
      </c>
      <c r="N4" s="4"/>
      <c r="O4" s="4"/>
      <c r="P4" s="4" t="s">
        <v>111</v>
      </c>
      <c r="Q4" s="4"/>
      <c r="R4" s="4"/>
      <c r="S4" s="4"/>
      <c r="T4" s="4"/>
      <c r="U4" s="122">
        <f>IF(Apr!$H$47="x",Apr!$U$4,Apr!$G$50)</f>
        <v>0</v>
      </c>
      <c r="V4" s="1"/>
      <c r="W4" s="1"/>
      <c r="X4" s="1"/>
      <c r="Y4" s="1"/>
      <c r="Z4" s="1"/>
      <c r="AA4" s="1"/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81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48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6" t="s">
        <v>44</v>
      </c>
      <c r="I6" s="356" t="s">
        <v>139</v>
      </c>
      <c r="J6" s="356" t="s">
        <v>44</v>
      </c>
      <c r="K6" s="356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407" customFormat="1" x14ac:dyDescent="0.2">
      <c r="A7" s="406"/>
      <c r="B7" s="385" t="s">
        <v>169</v>
      </c>
      <c r="C7" s="386" t="s">
        <v>350</v>
      </c>
      <c r="D7" s="387" t="s">
        <v>79</v>
      </c>
      <c r="E7" s="387"/>
      <c r="F7" s="388"/>
      <c r="G7" s="388"/>
      <c r="H7" s="388"/>
      <c r="I7" s="388"/>
      <c r="J7" s="388"/>
      <c r="K7" s="388"/>
      <c r="L7" s="389">
        <f>(G7-F7)+(I7-H7)+(K7-J7)+AI7+AN7</f>
        <v>0.31666666666666665</v>
      </c>
      <c r="M7" s="390">
        <f>IF(Apr!$H$47="x",(L7+Apr!$M$36)+M4,L7+M4)</f>
        <v>0.31666666666666665</v>
      </c>
      <c r="N7" s="390">
        <f>IF(Apr!$H$47="x",AU7+Apr!$N$36,AU7)</f>
        <v>0.31666666666666665</v>
      </c>
      <c r="O7" s="391" t="str">
        <f>IF((M7-N7-U$4)&lt;0,"-","+")</f>
        <v>+</v>
      </c>
      <c r="P7" s="392">
        <f>ABS(M7-N7-U4)</f>
        <v>0</v>
      </c>
      <c r="Q7" s="387">
        <f t="shared" ref="Q7:Q37" si="0">AP7</f>
        <v>0</v>
      </c>
      <c r="R7" s="387">
        <f t="shared" ref="R7:R37" si="1">AQ7</f>
        <v>0</v>
      </c>
      <c r="S7" s="387">
        <f t="shared" ref="S7:S37" si="2">AR7</f>
        <v>0</v>
      </c>
      <c r="T7" s="387">
        <f t="shared" ref="T7:T37" si="3">AO7</f>
        <v>0</v>
      </c>
      <c r="U7" s="389">
        <f>IF(D7="F",L7,0)</f>
        <v>0</v>
      </c>
      <c r="V7" s="389">
        <f>AE7</f>
        <v>0</v>
      </c>
      <c r="W7" s="389">
        <f>AF7</f>
        <v>0</v>
      </c>
      <c r="X7" s="387"/>
      <c r="Y7" s="388"/>
      <c r="Z7" s="388"/>
      <c r="AA7" s="393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93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93">
        <f>AA7+AB7</f>
        <v>0</v>
      </c>
      <c r="AD7" s="393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94">
        <f>AA7-AD7</f>
        <v>0</v>
      </c>
      <c r="AF7" s="393">
        <f>AH7+AD7</f>
        <v>0</v>
      </c>
      <c r="AG7" s="394">
        <f>AC7</f>
        <v>0</v>
      </c>
      <c r="AH7" s="393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395">
        <f>IF((D7&lt;&gt;""),VLOOKUP(D7,Data!$E$36:$H$53,4),)</f>
        <v>0.31666666666666665</v>
      </c>
      <c r="AJ7" s="395">
        <f t="shared" ref="AJ7:AJ37" si="8">IF(U7&gt;0,L7,0)</f>
        <v>0</v>
      </c>
      <c r="AK7" s="396" t="str">
        <f t="shared" ref="AK7:AK37" si="9">IF(L7&gt;0,D7,0)</f>
        <v>FV</v>
      </c>
      <c r="AL7" s="396">
        <f t="shared" ref="AL7:AL37" si="10">IF((E7="X")*OR(E7="x"),1,0)</f>
        <v>0</v>
      </c>
      <c r="AM7" s="397">
        <f t="shared" ref="AM7:AM37" si="11">IF(D7="F",1,)+IF((D7="VB")*AND(((G7-F7)+(I7-H7)+(K7-J7))&gt;0),1,0)</f>
        <v>0</v>
      </c>
      <c r="AN7" s="395">
        <f t="shared" ref="AN7:AN37" si="12">IF((D7="VB")*AND(((G7-F7)+(I7-H7)+(K7-J7))=0),"07:36",0)</f>
        <v>0</v>
      </c>
      <c r="AO7" s="398">
        <f t="shared" ref="AO7:AO37" si="13">IF((F7&lt;=$AQ$2)*AND(G7&gt;=$AQ$3),1,)+IF((H7&lt;=$AQ$2)*AND(I7&gt;=$AQ$3),1,)+IF((J7&lt;=$AQ$2)*AND(K7&gt;=$AQ$3),1,)</f>
        <v>0</v>
      </c>
      <c r="AP7" s="398">
        <f t="shared" ref="AP7:AP37" si="14">IF((F7&lt;=$AR$2)*AND(G7&gt;=$AR$3),1,)+IF((H7&lt;=$AR$2)*AND(I7&gt;=$AR$3),1,)+IF((J7&lt;=$AR$2)*AND(K7&gt;=$AR$3),1,)</f>
        <v>0</v>
      </c>
      <c r="AQ7" s="398">
        <f t="shared" ref="AQ7:AQ37" si="15">IF((F7&lt;=$AS$2)*AND(G7&gt;=$AS$3),1,)+IF((H7&lt;=$AS$2)*AND(I7&gt;=$AS$3),1,)+IF((J7&lt;=$AS$2)*AND(K7&gt;=$AS$3),1,)</f>
        <v>0</v>
      </c>
      <c r="AR7" s="398">
        <f t="shared" ref="AR7:AR37" si="16">IF((F7=$AT$2)*AND(G7&gt;=$AT$3),1,)+IF((H7=$AT$2)*AND(I7&gt;=$AT$3),1,)+IF((J7=$AT$2)*AND(K7&gt;=$AT$3),1,)</f>
        <v>0</v>
      </c>
      <c r="AS7" s="396">
        <f t="shared" ref="AS7:AS37" si="17">IF((E7="MO")*OR(E7="mo"),1,0)</f>
        <v>0</v>
      </c>
      <c r="AT7" s="396">
        <f t="shared" ref="AT7:AT37" si="18">IF((E7="M")*OR(E7="m"),1,0)</f>
        <v>0</v>
      </c>
      <c r="AU7" s="389">
        <f>IF(Data!$H$8="x",AV7,AW7)</f>
        <v>0.31666666666666665</v>
      </c>
      <c r="AV7" s="389">
        <f t="shared" ref="AV7:AV37" si="19">AW7/2</f>
        <v>0.15833333333333333</v>
      </c>
      <c r="AW7" s="389">
        <f>IF(D7="V",AX4,(AX4+"07:36"))</f>
        <v>0.31666666666666665</v>
      </c>
      <c r="AX7" s="385" t="str">
        <f t="shared" ref="AX7:AX37" si="20">B7</f>
        <v>Vr</v>
      </c>
      <c r="AY7" s="396">
        <f>IF((R40="HAU1")*AND(R41&lt;&gt;""),VLOOKUP(R41,Barema!$Q$5:$R$31,2),)</f>
        <v>0</v>
      </c>
      <c r="AZ7" s="396" t="s">
        <v>0</v>
      </c>
      <c r="BA7" s="102"/>
    </row>
    <row r="8" spans="1:54" s="376" customFormat="1" x14ac:dyDescent="0.2">
      <c r="A8" s="374"/>
      <c r="B8" s="362" t="s">
        <v>171</v>
      </c>
      <c r="C8" s="363" t="s">
        <v>351</v>
      </c>
      <c r="D8" s="364"/>
      <c r="E8" s="364"/>
      <c r="F8" s="365"/>
      <c r="G8" s="365"/>
      <c r="H8" s="365"/>
      <c r="I8" s="365"/>
      <c r="J8" s="365"/>
      <c r="K8" s="365"/>
      <c r="L8" s="366">
        <f>(G8-F8)+(I8-H8)+(K8-J8)</f>
        <v>0</v>
      </c>
      <c r="M8" s="366">
        <f>M7+L8</f>
        <v>0.31666666666666665</v>
      </c>
      <c r="N8" s="382">
        <f>IF(Apr!$H$47="x",AU8+Apr!$N$36,AU8)</f>
        <v>0.31666666666666665</v>
      </c>
      <c r="O8" s="377" t="str">
        <f t="shared" ref="O8:O37" si="21">IF((M8-N8-U$4)&lt;0,"-","+")</f>
        <v>+</v>
      </c>
      <c r="P8" s="367">
        <f>ABS(M8-N8-U4)</f>
        <v>0</v>
      </c>
      <c r="Q8" s="364">
        <f t="shared" si="0"/>
        <v>0</v>
      </c>
      <c r="R8" s="364">
        <f t="shared" si="1"/>
        <v>0</v>
      </c>
      <c r="S8" s="364">
        <f t="shared" si="2"/>
        <v>0</v>
      </c>
      <c r="T8" s="364">
        <f t="shared" si="3"/>
        <v>0</v>
      </c>
      <c r="U8" s="366">
        <f>L8</f>
        <v>0</v>
      </c>
      <c r="V8" s="366">
        <f t="shared" ref="V8:V37" si="22">AE8</f>
        <v>0</v>
      </c>
      <c r="W8" s="366">
        <f t="shared" ref="W8:W37" si="23">AF8</f>
        <v>0</v>
      </c>
      <c r="X8" s="364"/>
      <c r="Y8" s="365"/>
      <c r="Z8" s="365"/>
      <c r="AA8" s="368">
        <f t="shared" si="4"/>
        <v>0</v>
      </c>
      <c r="AB8" s="368">
        <f t="shared" si="5"/>
        <v>0</v>
      </c>
      <c r="AC8" s="368">
        <f>AA8+AB8</f>
        <v>0</v>
      </c>
      <c r="AD8" s="368">
        <f t="shared" si="6"/>
        <v>0</v>
      </c>
      <c r="AE8" s="369">
        <f>AA8-AD8</f>
        <v>0</v>
      </c>
      <c r="AF8" s="368">
        <f>AH8+AD8</f>
        <v>0</v>
      </c>
      <c r="AG8" s="369">
        <f>AC8</f>
        <v>0</v>
      </c>
      <c r="AH8" s="368">
        <f t="shared" si="7"/>
        <v>0</v>
      </c>
      <c r="AI8" s="370">
        <f>IF((D8&lt;&gt;""),VLOOKUP(D8,Data!$E$36:$H$53,4),)</f>
        <v>0</v>
      </c>
      <c r="AJ8" s="370">
        <f t="shared" si="8"/>
        <v>0</v>
      </c>
      <c r="AK8" s="371">
        <f t="shared" si="9"/>
        <v>0</v>
      </c>
      <c r="AL8" s="371">
        <f t="shared" si="10"/>
        <v>0</v>
      </c>
      <c r="AM8" s="372">
        <f t="shared" si="11"/>
        <v>0</v>
      </c>
      <c r="AN8" s="370">
        <f t="shared" si="12"/>
        <v>0</v>
      </c>
      <c r="AO8" s="373">
        <f t="shared" si="13"/>
        <v>0</v>
      </c>
      <c r="AP8" s="373">
        <f t="shared" si="14"/>
        <v>0</v>
      </c>
      <c r="AQ8" s="373">
        <f t="shared" si="15"/>
        <v>0</v>
      </c>
      <c r="AR8" s="373">
        <f t="shared" si="16"/>
        <v>0</v>
      </c>
      <c r="AS8" s="371">
        <f t="shared" si="17"/>
        <v>0</v>
      </c>
      <c r="AT8" s="371">
        <f t="shared" si="18"/>
        <v>0</v>
      </c>
      <c r="AU8" s="366">
        <f>IF(Data!$H$8="x",AV8,AW8)</f>
        <v>0.31666666666666665</v>
      </c>
      <c r="AV8" s="366">
        <f t="shared" si="19"/>
        <v>0.15833333333333333</v>
      </c>
      <c r="AW8" s="366">
        <f>AW7</f>
        <v>0.31666666666666665</v>
      </c>
      <c r="AX8" s="362" t="str">
        <f t="shared" si="20"/>
        <v>Za</v>
      </c>
      <c r="AY8" s="371">
        <f>IF((R40="HAU2")*AND(R41&lt;&gt;""),VLOOKUP(R41,Barema!$T$5:$U$31,2),)</f>
        <v>0</v>
      </c>
      <c r="AZ8" s="371" t="s">
        <v>1</v>
      </c>
      <c r="BA8" s="439"/>
    </row>
    <row r="9" spans="1:54" s="376" customFormat="1" x14ac:dyDescent="0.2">
      <c r="A9" s="374"/>
      <c r="B9" s="362" t="s">
        <v>173</v>
      </c>
      <c r="C9" s="363" t="s">
        <v>352</v>
      </c>
      <c r="D9" s="364"/>
      <c r="E9" s="364"/>
      <c r="F9" s="365"/>
      <c r="G9" s="365"/>
      <c r="H9" s="365"/>
      <c r="I9" s="365"/>
      <c r="J9" s="365"/>
      <c r="K9" s="365"/>
      <c r="L9" s="366">
        <f>(G9-F9)+(I9-H9)+(K9-J9)</f>
        <v>0</v>
      </c>
      <c r="M9" s="366">
        <f t="shared" ref="M9:M37" si="24">M8+L9</f>
        <v>0.31666666666666665</v>
      </c>
      <c r="N9" s="382">
        <f>IF(Apr!$H$47="x",AU9+Apr!$N$36,AU9)</f>
        <v>0.31666666666666665</v>
      </c>
      <c r="O9" s="377" t="str">
        <f t="shared" si="21"/>
        <v>+</v>
      </c>
      <c r="P9" s="367">
        <f>ABS(M9-N9-U4)</f>
        <v>0</v>
      </c>
      <c r="Q9" s="364">
        <f t="shared" si="0"/>
        <v>0</v>
      </c>
      <c r="R9" s="364">
        <f t="shared" si="1"/>
        <v>0</v>
      </c>
      <c r="S9" s="364">
        <f t="shared" si="2"/>
        <v>0</v>
      </c>
      <c r="T9" s="364">
        <f t="shared" si="3"/>
        <v>0</v>
      </c>
      <c r="U9" s="366">
        <f>L9</f>
        <v>0</v>
      </c>
      <c r="V9" s="366">
        <f t="shared" si="22"/>
        <v>0</v>
      </c>
      <c r="W9" s="366">
        <f t="shared" si="23"/>
        <v>0</v>
      </c>
      <c r="X9" s="364"/>
      <c r="Y9" s="365"/>
      <c r="Z9" s="365"/>
      <c r="AA9" s="368">
        <f t="shared" si="4"/>
        <v>0</v>
      </c>
      <c r="AB9" s="368">
        <f t="shared" si="5"/>
        <v>0</v>
      </c>
      <c r="AC9" s="368">
        <f t="shared" ref="AC9:AC37" si="25">AA9+AB9</f>
        <v>0</v>
      </c>
      <c r="AD9" s="368">
        <f t="shared" si="6"/>
        <v>0</v>
      </c>
      <c r="AE9" s="369">
        <f t="shared" ref="AE9:AE37" si="26">AA9-AD9</f>
        <v>0</v>
      </c>
      <c r="AF9" s="368">
        <f t="shared" ref="AF9:AF37" si="27">AH9+AD9</f>
        <v>0</v>
      </c>
      <c r="AG9" s="369">
        <f t="shared" ref="AG9:AG37" si="28">AC9</f>
        <v>0</v>
      </c>
      <c r="AH9" s="368">
        <f t="shared" si="7"/>
        <v>0</v>
      </c>
      <c r="AI9" s="370">
        <f>IF((D9&lt;&gt;""),VLOOKUP(D9,Data!$E$36:$H$53,4),)</f>
        <v>0</v>
      </c>
      <c r="AJ9" s="370">
        <f t="shared" si="8"/>
        <v>0</v>
      </c>
      <c r="AK9" s="371">
        <f t="shared" si="9"/>
        <v>0</v>
      </c>
      <c r="AL9" s="371">
        <f t="shared" si="10"/>
        <v>0</v>
      </c>
      <c r="AM9" s="372">
        <f t="shared" si="11"/>
        <v>0</v>
      </c>
      <c r="AN9" s="370">
        <f t="shared" si="12"/>
        <v>0</v>
      </c>
      <c r="AO9" s="373">
        <f t="shared" si="13"/>
        <v>0</v>
      </c>
      <c r="AP9" s="373">
        <f t="shared" si="14"/>
        <v>0</v>
      </c>
      <c r="AQ9" s="373">
        <f t="shared" si="15"/>
        <v>0</v>
      </c>
      <c r="AR9" s="373">
        <f t="shared" si="16"/>
        <v>0</v>
      </c>
      <c r="AS9" s="371">
        <f t="shared" si="17"/>
        <v>0</v>
      </c>
      <c r="AT9" s="371">
        <f t="shared" si="18"/>
        <v>0</v>
      </c>
      <c r="AU9" s="366">
        <f>IF(Data!$H$8="x",AV9,AW9)</f>
        <v>0.31666666666666665</v>
      </c>
      <c r="AV9" s="366">
        <f t="shared" si="19"/>
        <v>0.15833333333333333</v>
      </c>
      <c r="AW9" s="366">
        <f>AW8</f>
        <v>0.31666666666666665</v>
      </c>
      <c r="AX9" s="362" t="str">
        <f t="shared" si="20"/>
        <v>Zo</v>
      </c>
      <c r="AY9" s="371">
        <f>IF((R40="HAU3")*AND(R41&lt;&gt;""),VLOOKUP(R41,Barema!$W$5:$X$31,2),)</f>
        <v>0</v>
      </c>
      <c r="AZ9" s="371" t="s">
        <v>2</v>
      </c>
      <c r="BA9" s="439"/>
    </row>
    <row r="10" spans="1:54" s="378" customFormat="1" x14ac:dyDescent="0.2">
      <c r="A10" s="309"/>
      <c r="B10" s="6" t="s">
        <v>175</v>
      </c>
      <c r="C10" s="311" t="s">
        <v>353</v>
      </c>
      <c r="D10" s="312"/>
      <c r="E10" s="312"/>
      <c r="F10" s="274"/>
      <c r="G10" s="274"/>
      <c r="H10" s="310"/>
      <c r="I10" s="310"/>
      <c r="J10" s="310"/>
      <c r="K10" s="310"/>
      <c r="L10" s="313">
        <f>(G10-F10)+(I10-H10)+(K10-J10)+AI10+AN10</f>
        <v>0</v>
      </c>
      <c r="M10" s="313">
        <f t="shared" si="24"/>
        <v>0.31666666666666665</v>
      </c>
      <c r="N10" s="338">
        <f>IF(Apr!$H$47="x",AU10+Apr!$N$36,AU10)</f>
        <v>0.6333333333333333</v>
      </c>
      <c r="O10" s="337" t="str">
        <f t="shared" si="21"/>
        <v>-</v>
      </c>
      <c r="P10" s="314">
        <f>ABS(M10-N10-U4)</f>
        <v>0.31666666666666665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2"/>
        <v>0</v>
      </c>
      <c r="W10" s="313">
        <f t="shared" si="23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5"/>
        <v>0</v>
      </c>
      <c r="AD10" s="315">
        <f t="shared" si="6"/>
        <v>0</v>
      </c>
      <c r="AE10" s="316">
        <f t="shared" si="26"/>
        <v>0</v>
      </c>
      <c r="AF10" s="315">
        <f t="shared" si="27"/>
        <v>0</v>
      </c>
      <c r="AG10" s="316">
        <f t="shared" si="28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0.6333333333333333</v>
      </c>
      <c r="AV10" s="313">
        <f t="shared" si="19"/>
        <v>0.31666666666666665</v>
      </c>
      <c r="AW10" s="313">
        <f>IF(D10="V",AW9,(AW9+"07:36"))</f>
        <v>0.6333333333333333</v>
      </c>
      <c r="AX10" s="6" t="str">
        <f t="shared" si="20"/>
        <v>Ma</v>
      </c>
      <c r="AY10" s="4">
        <f>IF((R40="B1")*AND(R41&lt;&gt;""),VLOOKUP(R41,Barema!$Z$5:$AA$31,2),)</f>
        <v>0</v>
      </c>
      <c r="AZ10" s="4" t="s">
        <v>3</v>
      </c>
      <c r="BA10" s="102"/>
    </row>
    <row r="11" spans="1:54" s="378" customFormat="1" x14ac:dyDescent="0.2">
      <c r="A11" s="309"/>
      <c r="B11" s="6" t="s">
        <v>177</v>
      </c>
      <c r="C11" s="311" t="s">
        <v>354</v>
      </c>
      <c r="D11" s="312"/>
      <c r="E11" s="312"/>
      <c r="F11" s="274"/>
      <c r="G11" s="274"/>
      <c r="H11" s="310"/>
      <c r="I11" s="310"/>
      <c r="J11" s="310"/>
      <c r="K11" s="310"/>
      <c r="L11" s="313">
        <f>(G11-F11)+(I11-H11)+(K11-J11)+AI11+AN11</f>
        <v>0</v>
      </c>
      <c r="M11" s="338">
        <f t="shared" si="24"/>
        <v>0.31666666666666665</v>
      </c>
      <c r="N11" s="338">
        <f>IF(Apr!$H$47="x",AU11+Apr!$N$36,AU11)</f>
        <v>0.95</v>
      </c>
      <c r="O11" s="337" t="str">
        <f t="shared" si="21"/>
        <v>-</v>
      </c>
      <c r="P11" s="314">
        <f>ABS(M11-N11-U4)</f>
        <v>0.6333333333333333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>
        <f>IF(D11="F",L11,0)</f>
        <v>0</v>
      </c>
      <c r="V11" s="313">
        <f t="shared" si="22"/>
        <v>0</v>
      </c>
      <c r="W11" s="313">
        <f t="shared" si="23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5"/>
        <v>0</v>
      </c>
      <c r="AD11" s="315">
        <f t="shared" si="6"/>
        <v>0</v>
      </c>
      <c r="AE11" s="316">
        <f t="shared" si="26"/>
        <v>0</v>
      </c>
      <c r="AF11" s="315">
        <f t="shared" si="27"/>
        <v>0</v>
      </c>
      <c r="AG11" s="316">
        <f t="shared" si="28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0.95</v>
      </c>
      <c r="AV11" s="313">
        <f t="shared" si="19"/>
        <v>0.47499999999999998</v>
      </c>
      <c r="AW11" s="313">
        <f>IF(D11="V",AW10,(AW10+"07:36"))</f>
        <v>0.95</v>
      </c>
      <c r="AX11" s="6" t="str">
        <f t="shared" si="20"/>
        <v>Di</v>
      </c>
      <c r="AY11" s="4">
        <f>IF((R40="B2")*AND(R41&lt;&gt;""),VLOOKUP(R41,Barema!$AC$5:$AD$31,2),)</f>
        <v>0</v>
      </c>
      <c r="AZ11" s="4" t="s">
        <v>4</v>
      </c>
      <c r="BA11" s="102"/>
    </row>
    <row r="12" spans="1:54" s="378" customFormat="1" x14ac:dyDescent="0.2">
      <c r="A12" s="309"/>
      <c r="B12" s="6" t="s">
        <v>179</v>
      </c>
      <c r="C12" s="311" t="s">
        <v>355</v>
      </c>
      <c r="D12" s="312"/>
      <c r="E12" s="312"/>
      <c r="F12" s="274"/>
      <c r="G12" s="274"/>
      <c r="H12" s="310"/>
      <c r="I12" s="310"/>
      <c r="J12" s="310"/>
      <c r="K12" s="310"/>
      <c r="L12" s="313">
        <f>(G12-F12)+(I12-H12)+(K12-J12)+AI12+AN12</f>
        <v>0</v>
      </c>
      <c r="M12" s="313">
        <f>M11+L12</f>
        <v>0.31666666666666665</v>
      </c>
      <c r="N12" s="338">
        <f>IF(Apr!$H$47="x",AU12+Apr!$N$36,AU12)</f>
        <v>1.2666666666666666</v>
      </c>
      <c r="O12" s="337" t="str">
        <f t="shared" si="21"/>
        <v>-</v>
      </c>
      <c r="P12" s="314">
        <f>ABS(M12-N12-U4)</f>
        <v>0.95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>
        <f>IF(D12="F",L12,0)</f>
        <v>0</v>
      </c>
      <c r="V12" s="313">
        <f t="shared" si="22"/>
        <v>0</v>
      </c>
      <c r="W12" s="313">
        <f t="shared" si="23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5"/>
        <v>0</v>
      </c>
      <c r="AD12" s="315">
        <f t="shared" si="6"/>
        <v>0</v>
      </c>
      <c r="AE12" s="316">
        <f t="shared" si="26"/>
        <v>0</v>
      </c>
      <c r="AF12" s="315">
        <f t="shared" si="27"/>
        <v>0</v>
      </c>
      <c r="AG12" s="316">
        <f t="shared" si="28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1.2666666666666666</v>
      </c>
      <c r="AV12" s="313">
        <f t="shared" si="19"/>
        <v>0.6333333333333333</v>
      </c>
      <c r="AW12" s="313">
        <f>IF(D12="V",AW11,(AW11+"07:36"))</f>
        <v>1.2666666666666666</v>
      </c>
      <c r="AX12" s="6" t="str">
        <f t="shared" si="20"/>
        <v>Wo</v>
      </c>
      <c r="AY12" s="4">
        <f>IF((R40="B3")*AND(R41&lt;&gt;""),VLOOKUP(R41,Barema!$AF$5:$AG$31,2),)</f>
        <v>0</v>
      </c>
      <c r="AZ12" s="4" t="s">
        <v>5</v>
      </c>
      <c r="BA12" s="102"/>
    </row>
    <row r="13" spans="1:54" s="378" customFormat="1" x14ac:dyDescent="0.2">
      <c r="A13" s="309"/>
      <c r="B13" s="6" t="s">
        <v>167</v>
      </c>
      <c r="C13" s="311" t="s">
        <v>356</v>
      </c>
      <c r="D13" s="312"/>
      <c r="E13" s="312"/>
      <c r="F13" s="274"/>
      <c r="G13" s="274"/>
      <c r="H13" s="310"/>
      <c r="I13" s="310"/>
      <c r="J13" s="310"/>
      <c r="K13" s="310"/>
      <c r="L13" s="313">
        <f>(G13-F13)+(I13-H13)+(K13-J13)+AI13+AN13</f>
        <v>0</v>
      </c>
      <c r="M13" s="313">
        <f>M12+L13</f>
        <v>0.31666666666666665</v>
      </c>
      <c r="N13" s="338">
        <f>IF(Apr!$H$47="x",AU13+Apr!$N$36,AU13)</f>
        <v>1.5833333333333333</v>
      </c>
      <c r="O13" s="337" t="str">
        <f t="shared" si="21"/>
        <v>-</v>
      </c>
      <c r="P13" s="314">
        <f>ABS(M13-N13-U4)</f>
        <v>1.2666666666666666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2"/>
        <v>0</v>
      </c>
      <c r="W13" s="313">
        <f t="shared" si="23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5"/>
        <v>0</v>
      </c>
      <c r="AD13" s="315">
        <f t="shared" si="6"/>
        <v>0</v>
      </c>
      <c r="AE13" s="316">
        <f t="shared" si="26"/>
        <v>0</v>
      </c>
      <c r="AF13" s="315">
        <f t="shared" si="27"/>
        <v>0</v>
      </c>
      <c r="AG13" s="316">
        <f t="shared" si="28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Do</v>
      </c>
      <c r="AY13" s="4">
        <f>IF((R40="B4")*AND(R41&lt;&gt;""),VLOOKUP(R41,Barema!$AI$5:$AJ$34,2),)</f>
        <v>0</v>
      </c>
      <c r="AZ13" s="4" t="s">
        <v>6</v>
      </c>
      <c r="BA13" s="102"/>
    </row>
    <row r="14" spans="1:54" s="378" customFormat="1" x14ac:dyDescent="0.2">
      <c r="A14" s="309"/>
      <c r="B14" s="6" t="s">
        <v>169</v>
      </c>
      <c r="C14" s="311" t="s">
        <v>357</v>
      </c>
      <c r="D14" s="312"/>
      <c r="E14" s="312"/>
      <c r="F14" s="274"/>
      <c r="G14" s="274"/>
      <c r="H14" s="310"/>
      <c r="I14" s="310"/>
      <c r="J14" s="310"/>
      <c r="K14" s="310"/>
      <c r="L14" s="313">
        <f>(G14-F14)+(I14-H14)+(K14-J14)+AI14+AN14</f>
        <v>0</v>
      </c>
      <c r="M14" s="338">
        <f t="shared" si="24"/>
        <v>0.31666666666666665</v>
      </c>
      <c r="N14" s="338">
        <f>IF(Apr!$H$47="x",AU14+Apr!$N$36,AU14)</f>
        <v>1.9</v>
      </c>
      <c r="O14" s="337" t="str">
        <f t="shared" si="21"/>
        <v>-</v>
      </c>
      <c r="P14" s="314">
        <f>ABS(M14-N14-U4)</f>
        <v>1.5833333333333333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2"/>
        <v>0</v>
      </c>
      <c r="W14" s="313">
        <f t="shared" si="23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5"/>
        <v>0</v>
      </c>
      <c r="AD14" s="315">
        <f t="shared" si="6"/>
        <v>0</v>
      </c>
      <c r="AE14" s="316">
        <f t="shared" si="26"/>
        <v>0</v>
      </c>
      <c r="AF14" s="315">
        <f t="shared" si="27"/>
        <v>0</v>
      </c>
      <c r="AG14" s="316">
        <f t="shared" si="28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Vr</v>
      </c>
      <c r="AY14" s="4">
        <f>IF((R40="B5")*AND(R41&lt;&gt;""),VLOOKUP(R41,Barema!$AL$5:$AM$34,2),)</f>
        <v>0</v>
      </c>
      <c r="AZ14" s="4" t="s">
        <v>7</v>
      </c>
      <c r="BA14" s="102"/>
    </row>
    <row r="15" spans="1:54" s="376" customFormat="1" x14ac:dyDescent="0.2">
      <c r="A15" s="374"/>
      <c r="B15" s="362" t="s">
        <v>171</v>
      </c>
      <c r="C15" s="363" t="s">
        <v>358</v>
      </c>
      <c r="D15" s="364"/>
      <c r="E15" s="364"/>
      <c r="F15" s="365"/>
      <c r="G15" s="365"/>
      <c r="H15" s="365"/>
      <c r="I15" s="365"/>
      <c r="J15" s="365"/>
      <c r="K15" s="365"/>
      <c r="L15" s="366">
        <f>(G15-F15)+(I15-H15)+(K15-J15)</f>
        <v>0</v>
      </c>
      <c r="M15" s="366">
        <f t="shared" si="24"/>
        <v>0.31666666666666665</v>
      </c>
      <c r="N15" s="382">
        <f>IF(Apr!$H$47="x",AU15+Apr!$N$36,AU15)</f>
        <v>1.9</v>
      </c>
      <c r="O15" s="377" t="str">
        <f t="shared" si="21"/>
        <v>-</v>
      </c>
      <c r="P15" s="367">
        <f>ABS(M15-N15-U4)</f>
        <v>1.5833333333333333</v>
      </c>
      <c r="Q15" s="364">
        <f t="shared" si="0"/>
        <v>0</v>
      </c>
      <c r="R15" s="364">
        <f t="shared" si="1"/>
        <v>0</v>
      </c>
      <c r="S15" s="364">
        <f t="shared" si="2"/>
        <v>0</v>
      </c>
      <c r="T15" s="364">
        <f t="shared" si="3"/>
        <v>0</v>
      </c>
      <c r="U15" s="366">
        <f>L15</f>
        <v>0</v>
      </c>
      <c r="V15" s="366">
        <f t="shared" si="22"/>
        <v>0</v>
      </c>
      <c r="W15" s="366">
        <f t="shared" si="23"/>
        <v>0</v>
      </c>
      <c r="X15" s="364"/>
      <c r="Y15" s="365"/>
      <c r="Z15" s="365"/>
      <c r="AA15" s="368">
        <f t="shared" si="4"/>
        <v>0</v>
      </c>
      <c r="AB15" s="368">
        <f t="shared" si="5"/>
        <v>0</v>
      </c>
      <c r="AC15" s="368">
        <f t="shared" si="25"/>
        <v>0</v>
      </c>
      <c r="AD15" s="368">
        <f t="shared" si="6"/>
        <v>0</v>
      </c>
      <c r="AE15" s="369">
        <f t="shared" si="26"/>
        <v>0</v>
      </c>
      <c r="AF15" s="368">
        <f t="shared" si="27"/>
        <v>0</v>
      </c>
      <c r="AG15" s="369">
        <f t="shared" si="28"/>
        <v>0</v>
      </c>
      <c r="AH15" s="368">
        <f t="shared" si="7"/>
        <v>0</v>
      </c>
      <c r="AI15" s="370">
        <f>IF((D15&lt;&gt;""),VLOOKUP(D15,Data!$E$36:$H$53,4),)</f>
        <v>0</v>
      </c>
      <c r="AJ15" s="370">
        <f t="shared" si="8"/>
        <v>0</v>
      </c>
      <c r="AK15" s="371">
        <f t="shared" si="9"/>
        <v>0</v>
      </c>
      <c r="AL15" s="371">
        <f t="shared" si="10"/>
        <v>0</v>
      </c>
      <c r="AM15" s="372">
        <f t="shared" si="11"/>
        <v>0</v>
      </c>
      <c r="AN15" s="370">
        <f t="shared" si="12"/>
        <v>0</v>
      </c>
      <c r="AO15" s="373">
        <f t="shared" si="13"/>
        <v>0</v>
      </c>
      <c r="AP15" s="373">
        <f t="shared" si="14"/>
        <v>0</v>
      </c>
      <c r="AQ15" s="373">
        <f t="shared" si="15"/>
        <v>0</v>
      </c>
      <c r="AR15" s="373">
        <f t="shared" si="16"/>
        <v>0</v>
      </c>
      <c r="AS15" s="371">
        <f t="shared" si="17"/>
        <v>0</v>
      </c>
      <c r="AT15" s="371">
        <f t="shared" si="18"/>
        <v>0</v>
      </c>
      <c r="AU15" s="366">
        <f>IF(Data!$H$8="x",AV15,AW15)</f>
        <v>1.9</v>
      </c>
      <c r="AV15" s="366">
        <f t="shared" si="19"/>
        <v>0.95</v>
      </c>
      <c r="AW15" s="366">
        <f>AW14</f>
        <v>1.9</v>
      </c>
      <c r="AX15" s="362" t="str">
        <f t="shared" si="20"/>
        <v>Za</v>
      </c>
      <c r="AY15" s="371">
        <f>IF((R40="M1.1")*AND(R41&lt;&gt;""),VLOOKUP(R41,Barema!$AO$5:$AP$31,2),)</f>
        <v>0</v>
      </c>
      <c r="AZ15" s="371" t="s">
        <v>8</v>
      </c>
      <c r="BA15" s="439"/>
    </row>
    <row r="16" spans="1:54" s="376" customFormat="1" x14ac:dyDescent="0.2">
      <c r="A16" s="374"/>
      <c r="B16" s="362" t="s">
        <v>173</v>
      </c>
      <c r="C16" s="363" t="s">
        <v>359</v>
      </c>
      <c r="D16" s="364"/>
      <c r="E16" s="364"/>
      <c r="F16" s="365"/>
      <c r="G16" s="365"/>
      <c r="H16" s="365"/>
      <c r="I16" s="365"/>
      <c r="J16" s="365"/>
      <c r="K16" s="365"/>
      <c r="L16" s="366">
        <f>(G16-F16)+(I16-H16)+(K16-J16)</f>
        <v>0</v>
      </c>
      <c r="M16" s="366">
        <f t="shared" si="24"/>
        <v>0.31666666666666665</v>
      </c>
      <c r="N16" s="382">
        <f>IF(Apr!$H$47="x",AU16+Apr!$N$36,AU16)</f>
        <v>1.9</v>
      </c>
      <c r="O16" s="377" t="str">
        <f t="shared" si="21"/>
        <v>-</v>
      </c>
      <c r="P16" s="367">
        <f>ABS(M16-N16-U4)</f>
        <v>1.5833333333333333</v>
      </c>
      <c r="Q16" s="364">
        <f t="shared" si="0"/>
        <v>0</v>
      </c>
      <c r="R16" s="364">
        <f t="shared" si="1"/>
        <v>0</v>
      </c>
      <c r="S16" s="364">
        <f t="shared" si="2"/>
        <v>0</v>
      </c>
      <c r="T16" s="364">
        <f t="shared" si="3"/>
        <v>0</v>
      </c>
      <c r="U16" s="366">
        <f>L16</f>
        <v>0</v>
      </c>
      <c r="V16" s="366">
        <f t="shared" si="22"/>
        <v>0</v>
      </c>
      <c r="W16" s="366">
        <f t="shared" si="23"/>
        <v>0</v>
      </c>
      <c r="X16" s="364"/>
      <c r="Y16" s="365"/>
      <c r="Z16" s="365"/>
      <c r="AA16" s="368">
        <f t="shared" si="4"/>
        <v>0</v>
      </c>
      <c r="AB16" s="368">
        <f t="shared" si="5"/>
        <v>0</v>
      </c>
      <c r="AC16" s="368">
        <f t="shared" si="25"/>
        <v>0</v>
      </c>
      <c r="AD16" s="368">
        <f t="shared" si="6"/>
        <v>0</v>
      </c>
      <c r="AE16" s="369">
        <f t="shared" si="26"/>
        <v>0</v>
      </c>
      <c r="AF16" s="368">
        <f t="shared" si="27"/>
        <v>0</v>
      </c>
      <c r="AG16" s="369">
        <f t="shared" si="28"/>
        <v>0</v>
      </c>
      <c r="AH16" s="368">
        <f t="shared" si="7"/>
        <v>0</v>
      </c>
      <c r="AI16" s="370">
        <f>IF((D16&lt;&gt;""),VLOOKUP(D16,Data!$E$36:$H$53,4),)</f>
        <v>0</v>
      </c>
      <c r="AJ16" s="370">
        <f t="shared" si="8"/>
        <v>0</v>
      </c>
      <c r="AK16" s="371">
        <f t="shared" si="9"/>
        <v>0</v>
      </c>
      <c r="AL16" s="371">
        <f t="shared" si="10"/>
        <v>0</v>
      </c>
      <c r="AM16" s="372">
        <f t="shared" si="11"/>
        <v>0</v>
      </c>
      <c r="AN16" s="370">
        <f t="shared" si="12"/>
        <v>0</v>
      </c>
      <c r="AO16" s="373">
        <f t="shared" si="13"/>
        <v>0</v>
      </c>
      <c r="AP16" s="373">
        <f t="shared" si="14"/>
        <v>0</v>
      </c>
      <c r="AQ16" s="373">
        <f t="shared" si="15"/>
        <v>0</v>
      </c>
      <c r="AR16" s="373">
        <f t="shared" si="16"/>
        <v>0</v>
      </c>
      <c r="AS16" s="371">
        <f t="shared" si="17"/>
        <v>0</v>
      </c>
      <c r="AT16" s="371">
        <f t="shared" si="18"/>
        <v>0</v>
      </c>
      <c r="AU16" s="366">
        <f>IF(Data!$H$8="x",AV16,AW16)</f>
        <v>1.9</v>
      </c>
      <c r="AV16" s="366">
        <f t="shared" si="19"/>
        <v>0.95</v>
      </c>
      <c r="AW16" s="366">
        <f>AW15</f>
        <v>1.9</v>
      </c>
      <c r="AX16" s="362" t="str">
        <f t="shared" si="20"/>
        <v>Zo</v>
      </c>
      <c r="AY16" s="371">
        <f>IF((R40="M1.2")*AND(R41&lt;&gt;""),VLOOKUP(R41,Barema!$AR$5:$AS$31,2),)</f>
        <v>0</v>
      </c>
      <c r="AZ16" s="371" t="s">
        <v>9</v>
      </c>
      <c r="BA16" s="439"/>
    </row>
    <row r="17" spans="1:53" s="378" customFormat="1" x14ac:dyDescent="0.2">
      <c r="A17" s="309"/>
      <c r="B17" s="6" t="s">
        <v>175</v>
      </c>
      <c r="C17" s="311" t="s">
        <v>360</v>
      </c>
      <c r="D17" s="312"/>
      <c r="E17" s="312"/>
      <c r="F17" s="274"/>
      <c r="G17" s="274"/>
      <c r="H17" s="310"/>
      <c r="I17" s="310"/>
      <c r="J17" s="310"/>
      <c r="K17" s="310"/>
      <c r="L17" s="313">
        <f>(G17-F17)+(I17-H17)+(K17-J17)+AI17+AN17</f>
        <v>0</v>
      </c>
      <c r="M17" s="313">
        <f t="shared" si="24"/>
        <v>0.31666666666666665</v>
      </c>
      <c r="N17" s="338">
        <f>IF(Apr!$H$47="x",AU17+Apr!$N$36,AU17)</f>
        <v>2.2166666666666668</v>
      </c>
      <c r="O17" s="337" t="str">
        <f t="shared" si="21"/>
        <v>-</v>
      </c>
      <c r="P17" s="314">
        <f>ABS(M17-N17-U4)</f>
        <v>1.9000000000000001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2"/>
        <v>0</v>
      </c>
      <c r="W17" s="313">
        <f t="shared" si="23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5"/>
        <v>0</v>
      </c>
      <c r="AD17" s="315">
        <f t="shared" si="6"/>
        <v>0</v>
      </c>
      <c r="AE17" s="316">
        <f t="shared" si="26"/>
        <v>0</v>
      </c>
      <c r="AF17" s="315">
        <f t="shared" si="27"/>
        <v>0</v>
      </c>
      <c r="AG17" s="316">
        <f t="shared" si="28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2.2166666666666668</v>
      </c>
      <c r="AV17" s="313">
        <f t="shared" si="19"/>
        <v>1.1083333333333334</v>
      </c>
      <c r="AW17" s="313">
        <f>IF(D17="V",AW16,(AW16+"07:36"))</f>
        <v>2.2166666666666668</v>
      </c>
      <c r="AX17" s="6" t="str">
        <f t="shared" si="20"/>
        <v>Ma</v>
      </c>
      <c r="AY17" s="4">
        <f>IF((R40="M2.1")*AND(R41&lt;&gt;""),VLOOKUP(R41,Barema!$AU$5:$AV$31,2),)</f>
        <v>0</v>
      </c>
      <c r="AZ17" s="4" t="s">
        <v>10</v>
      </c>
      <c r="BA17" s="102"/>
    </row>
    <row r="18" spans="1:53" s="378" customFormat="1" x14ac:dyDescent="0.2">
      <c r="A18" s="309"/>
      <c r="B18" s="6" t="s">
        <v>177</v>
      </c>
      <c r="C18" s="311" t="s">
        <v>361</v>
      </c>
      <c r="D18" s="312"/>
      <c r="E18" s="312"/>
      <c r="F18" s="274"/>
      <c r="G18" s="274"/>
      <c r="H18" s="310"/>
      <c r="I18" s="310"/>
      <c r="J18" s="310"/>
      <c r="K18" s="310"/>
      <c r="L18" s="313">
        <f>(G18-F18)+(I18-H18)+(K18-J18)+AI18+AN18</f>
        <v>0</v>
      </c>
      <c r="M18" s="313">
        <f t="shared" si="24"/>
        <v>0.31666666666666665</v>
      </c>
      <c r="N18" s="338">
        <f>IF(Apr!$H$47="x",AU18+Apr!$N$36,AU18)</f>
        <v>2.5333333333333332</v>
      </c>
      <c r="O18" s="337" t="str">
        <f t="shared" si="21"/>
        <v>-</v>
      </c>
      <c r="P18" s="314">
        <f>ABS(M18-N18-U4)</f>
        <v>2.2166666666666668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2"/>
        <v>0</v>
      </c>
      <c r="W18" s="313">
        <f t="shared" si="23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5"/>
        <v>0</v>
      </c>
      <c r="AD18" s="315">
        <f t="shared" si="6"/>
        <v>0</v>
      </c>
      <c r="AE18" s="316">
        <f t="shared" si="26"/>
        <v>0</v>
      </c>
      <c r="AF18" s="315">
        <f t="shared" si="27"/>
        <v>0</v>
      </c>
      <c r="AG18" s="316">
        <f t="shared" si="28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2.5333333333333332</v>
      </c>
      <c r="AV18" s="313">
        <f t="shared" si="19"/>
        <v>1.2666666666666666</v>
      </c>
      <c r="AW18" s="313">
        <f>IF(D18="V",AW17,(AW17+"07:36"))</f>
        <v>2.5333333333333332</v>
      </c>
      <c r="AX18" s="6" t="str">
        <f t="shared" si="20"/>
        <v>Di</v>
      </c>
      <c r="AY18" s="4">
        <f>IF((R40="M2.2")*AND(R41&lt;&gt;""),VLOOKUP(R41,Barema!$AX$5:$AY$31,2),)</f>
        <v>0</v>
      </c>
      <c r="AZ18" s="4" t="s">
        <v>11</v>
      </c>
      <c r="BA18" s="102"/>
    </row>
    <row r="19" spans="1:53" s="378" customFormat="1" x14ac:dyDescent="0.2">
      <c r="A19" s="309"/>
      <c r="B19" s="6" t="s">
        <v>179</v>
      </c>
      <c r="C19" s="311" t="s">
        <v>362</v>
      </c>
      <c r="D19" s="312"/>
      <c r="E19" s="312"/>
      <c r="F19" s="274"/>
      <c r="G19" s="274"/>
      <c r="H19" s="310"/>
      <c r="I19" s="310"/>
      <c r="J19" s="310"/>
      <c r="K19" s="310"/>
      <c r="L19" s="313">
        <f>(G19-F19)+(I19-H19)+(K19-J19)+AI19+AN19</f>
        <v>0</v>
      </c>
      <c r="M19" s="313">
        <f>M18+L19</f>
        <v>0.31666666666666665</v>
      </c>
      <c r="N19" s="338">
        <f>IF(Apr!$H$47="x",AU19+Apr!$N$36,AU19)</f>
        <v>2.8499999999999996</v>
      </c>
      <c r="O19" s="337" t="str">
        <f t="shared" si="21"/>
        <v>-</v>
      </c>
      <c r="P19" s="314">
        <f>ABS(M19-N19-U4)</f>
        <v>2.5333333333333332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2"/>
        <v>0</v>
      </c>
      <c r="W19" s="313">
        <f t="shared" si="23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5"/>
        <v>0</v>
      </c>
      <c r="AD19" s="315">
        <f t="shared" si="6"/>
        <v>0</v>
      </c>
      <c r="AE19" s="316">
        <f t="shared" si="26"/>
        <v>0</v>
      </c>
      <c r="AF19" s="315">
        <f t="shared" si="27"/>
        <v>0</v>
      </c>
      <c r="AG19" s="316">
        <f t="shared" si="28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2.8499999999999996</v>
      </c>
      <c r="AV19" s="313">
        <f t="shared" si="19"/>
        <v>1.4249999999999998</v>
      </c>
      <c r="AW19" s="313">
        <f>IF(D19="V",AW18,(AW18+"07:36"))</f>
        <v>2.8499999999999996</v>
      </c>
      <c r="AX19" s="6" t="str">
        <f t="shared" si="20"/>
        <v>Wo</v>
      </c>
      <c r="AY19" s="4">
        <f>IF((R40="M3.1")*AND(R41&lt;&gt;""),VLOOKUP(R41,Barema!$BA$5:$BB$31,2),)</f>
        <v>0</v>
      </c>
      <c r="AZ19" s="4" t="s">
        <v>12</v>
      </c>
      <c r="BA19" s="102"/>
    </row>
    <row r="20" spans="1:53" s="407" customFormat="1" x14ac:dyDescent="0.2">
      <c r="A20" s="406"/>
      <c r="B20" s="385" t="s">
        <v>167</v>
      </c>
      <c r="C20" s="386" t="s">
        <v>363</v>
      </c>
      <c r="D20" s="387" t="s">
        <v>79</v>
      </c>
      <c r="E20" s="387"/>
      <c r="F20" s="388"/>
      <c r="G20" s="388"/>
      <c r="H20" s="388"/>
      <c r="I20" s="388"/>
      <c r="J20" s="388"/>
      <c r="K20" s="388"/>
      <c r="L20" s="389">
        <f>(G20-F20)+(I20-H20)+(K20-J20)+AI20+AN20</f>
        <v>0.31666666666666665</v>
      </c>
      <c r="M20" s="389">
        <f>M19+L20</f>
        <v>0.6333333333333333</v>
      </c>
      <c r="N20" s="390">
        <f>IF(Apr!$H$47="x",AU20+Apr!$N$36,AU20)</f>
        <v>3.1666666666666661</v>
      </c>
      <c r="O20" s="391" t="str">
        <f t="shared" si="21"/>
        <v>-</v>
      </c>
      <c r="P20" s="392">
        <f>ABS(M20-N20-U4)</f>
        <v>2.5333333333333328</v>
      </c>
      <c r="Q20" s="387">
        <f t="shared" si="0"/>
        <v>0</v>
      </c>
      <c r="R20" s="387">
        <f t="shared" si="1"/>
        <v>0</v>
      </c>
      <c r="S20" s="387">
        <f t="shared" si="2"/>
        <v>0</v>
      </c>
      <c r="T20" s="387">
        <f t="shared" si="3"/>
        <v>0</v>
      </c>
      <c r="U20" s="389">
        <f>IF(D20="F",L20,0)</f>
        <v>0</v>
      </c>
      <c r="V20" s="389">
        <f t="shared" si="22"/>
        <v>0</v>
      </c>
      <c r="W20" s="389">
        <f t="shared" si="23"/>
        <v>0</v>
      </c>
      <c r="X20" s="387"/>
      <c r="Y20" s="388"/>
      <c r="Z20" s="388"/>
      <c r="AA20" s="393">
        <f t="shared" si="4"/>
        <v>0</v>
      </c>
      <c r="AB20" s="393">
        <f t="shared" si="5"/>
        <v>0</v>
      </c>
      <c r="AC20" s="393">
        <f t="shared" si="25"/>
        <v>0</v>
      </c>
      <c r="AD20" s="393">
        <f t="shared" si="6"/>
        <v>0</v>
      </c>
      <c r="AE20" s="394">
        <f t="shared" si="26"/>
        <v>0</v>
      </c>
      <c r="AF20" s="393">
        <f t="shared" si="27"/>
        <v>0</v>
      </c>
      <c r="AG20" s="394">
        <f t="shared" si="28"/>
        <v>0</v>
      </c>
      <c r="AH20" s="393">
        <f t="shared" si="7"/>
        <v>0</v>
      </c>
      <c r="AI20" s="395">
        <f>IF((D20&lt;&gt;""),VLOOKUP(D20,Data!$E$36:$H$53,4),)</f>
        <v>0.31666666666666665</v>
      </c>
      <c r="AJ20" s="395">
        <f t="shared" si="8"/>
        <v>0</v>
      </c>
      <c r="AK20" s="396" t="str">
        <f t="shared" si="9"/>
        <v>FV</v>
      </c>
      <c r="AL20" s="396">
        <f t="shared" si="10"/>
        <v>0</v>
      </c>
      <c r="AM20" s="397">
        <f t="shared" si="11"/>
        <v>0</v>
      </c>
      <c r="AN20" s="395">
        <f t="shared" si="12"/>
        <v>0</v>
      </c>
      <c r="AO20" s="398">
        <f t="shared" si="13"/>
        <v>0</v>
      </c>
      <c r="AP20" s="398">
        <f t="shared" si="14"/>
        <v>0</v>
      </c>
      <c r="AQ20" s="398">
        <f t="shared" si="15"/>
        <v>0</v>
      </c>
      <c r="AR20" s="398">
        <f t="shared" si="16"/>
        <v>0</v>
      </c>
      <c r="AS20" s="396">
        <f t="shared" si="17"/>
        <v>0</v>
      </c>
      <c r="AT20" s="396">
        <f t="shared" si="18"/>
        <v>0</v>
      </c>
      <c r="AU20" s="389">
        <f>IF(Data!$H$8="x",AV20,AW20)</f>
        <v>3.1666666666666661</v>
      </c>
      <c r="AV20" s="389">
        <f t="shared" si="19"/>
        <v>1.583333333333333</v>
      </c>
      <c r="AW20" s="389">
        <f>IF(D20="V",AW19,(AW19+"07:36"))</f>
        <v>3.1666666666666661</v>
      </c>
      <c r="AX20" s="385" t="str">
        <f t="shared" si="20"/>
        <v>Do</v>
      </c>
      <c r="AY20" s="396">
        <f>IF((R40="M3.2")*AND(R41&lt;&gt;""),VLOOKUP(R41,Barema!$BD$5:$BE$31,2),)</f>
        <v>0</v>
      </c>
      <c r="AZ20" s="396" t="s">
        <v>13</v>
      </c>
      <c r="BA20" s="102"/>
    </row>
    <row r="21" spans="1:53" s="438" customFormat="1" x14ac:dyDescent="0.2">
      <c r="A21" s="435"/>
      <c r="B21" s="421" t="s">
        <v>169</v>
      </c>
      <c r="C21" s="422" t="s">
        <v>364</v>
      </c>
      <c r="D21" s="423" t="s">
        <v>84</v>
      </c>
      <c r="E21" s="423"/>
      <c r="F21" s="424"/>
      <c r="G21" s="424"/>
      <c r="H21" s="424"/>
      <c r="I21" s="424"/>
      <c r="J21" s="424"/>
      <c r="K21" s="424"/>
      <c r="L21" s="425">
        <f>(G21-F21)+(I21-H21)+(K21-J21)+AI21+AN21</f>
        <v>0.31666666666666665</v>
      </c>
      <c r="M21" s="436">
        <f t="shared" si="24"/>
        <v>0.95</v>
      </c>
      <c r="N21" s="436">
        <f>IF(Apr!$H$47="x",AU21+Apr!$N$36,AU21)</f>
        <v>3.4833333333333325</v>
      </c>
      <c r="O21" s="437" t="str">
        <f t="shared" si="21"/>
        <v>-</v>
      </c>
      <c r="P21" s="427">
        <f>ABS(M21-N21-U4)</f>
        <v>2.5333333333333323</v>
      </c>
      <c r="Q21" s="423">
        <f t="shared" si="0"/>
        <v>0</v>
      </c>
      <c r="R21" s="423">
        <f t="shared" si="1"/>
        <v>0</v>
      </c>
      <c r="S21" s="423">
        <f t="shared" si="2"/>
        <v>0</v>
      </c>
      <c r="T21" s="423">
        <f t="shared" si="3"/>
        <v>0</v>
      </c>
      <c r="U21" s="425">
        <f>IF(D21="F",L21,0)</f>
        <v>0</v>
      </c>
      <c r="V21" s="425">
        <f t="shared" si="22"/>
        <v>0</v>
      </c>
      <c r="W21" s="425">
        <f t="shared" si="23"/>
        <v>0</v>
      </c>
      <c r="X21" s="423"/>
      <c r="Y21" s="424"/>
      <c r="Z21" s="424"/>
      <c r="AA21" s="428">
        <f t="shared" si="4"/>
        <v>0</v>
      </c>
      <c r="AB21" s="428">
        <f t="shared" si="5"/>
        <v>0</v>
      </c>
      <c r="AC21" s="428">
        <f t="shared" si="25"/>
        <v>0</v>
      </c>
      <c r="AD21" s="428">
        <f t="shared" si="6"/>
        <v>0</v>
      </c>
      <c r="AE21" s="429">
        <f t="shared" si="26"/>
        <v>0</v>
      </c>
      <c r="AF21" s="428">
        <f t="shared" si="27"/>
        <v>0</v>
      </c>
      <c r="AG21" s="429">
        <f t="shared" si="28"/>
        <v>0</v>
      </c>
      <c r="AH21" s="428">
        <f t="shared" si="7"/>
        <v>0</v>
      </c>
      <c r="AI21" s="430">
        <f>IF((D21&lt;&gt;""),VLOOKUP(D21,Data!$E$36:$H$53,4),)</f>
        <v>0</v>
      </c>
      <c r="AJ21" s="430">
        <f t="shared" si="8"/>
        <v>0</v>
      </c>
      <c r="AK21" s="431" t="str">
        <f t="shared" si="9"/>
        <v>VB</v>
      </c>
      <c r="AL21" s="431">
        <f t="shared" si="10"/>
        <v>0</v>
      </c>
      <c r="AM21" s="432">
        <f t="shared" si="11"/>
        <v>0</v>
      </c>
      <c r="AN21" s="430" t="str">
        <f t="shared" si="12"/>
        <v>07:36</v>
      </c>
      <c r="AO21" s="433">
        <f t="shared" si="13"/>
        <v>0</v>
      </c>
      <c r="AP21" s="433">
        <f t="shared" si="14"/>
        <v>0</v>
      </c>
      <c r="AQ21" s="433">
        <f t="shared" si="15"/>
        <v>0</v>
      </c>
      <c r="AR21" s="433">
        <f t="shared" si="16"/>
        <v>0</v>
      </c>
      <c r="AS21" s="431">
        <f t="shared" si="17"/>
        <v>0</v>
      </c>
      <c r="AT21" s="431">
        <f t="shared" si="18"/>
        <v>0</v>
      </c>
      <c r="AU21" s="425">
        <f>IF(Data!$H$8="x",AV21,AW21)</f>
        <v>3.4833333333333325</v>
      </c>
      <c r="AV21" s="425">
        <f t="shared" si="19"/>
        <v>1.7416666666666663</v>
      </c>
      <c r="AW21" s="425">
        <f>IF(D21="V",AW20,(AW20+"07:36"))</f>
        <v>3.4833333333333325</v>
      </c>
      <c r="AX21" s="421" t="str">
        <f t="shared" si="20"/>
        <v>Vr</v>
      </c>
      <c r="AY21" s="431">
        <f>IF((R40="M4.1")*AND(R41&lt;&gt;""),VLOOKUP(R41,Barema!$BG$5:$BH$34,2),)</f>
        <v>0</v>
      </c>
      <c r="AZ21" s="431" t="s">
        <v>14</v>
      </c>
      <c r="BA21" s="102"/>
    </row>
    <row r="22" spans="1:53" s="376" customFormat="1" x14ac:dyDescent="0.2">
      <c r="A22" s="374"/>
      <c r="B22" s="362" t="s">
        <v>171</v>
      </c>
      <c r="C22" s="363" t="s">
        <v>365</v>
      </c>
      <c r="D22" s="364"/>
      <c r="E22" s="364"/>
      <c r="F22" s="365"/>
      <c r="G22" s="365"/>
      <c r="H22" s="365"/>
      <c r="I22" s="365"/>
      <c r="J22" s="365"/>
      <c r="K22" s="365"/>
      <c r="L22" s="366">
        <f>(G22-F22)+(I22-H22)+(K22-J22)</f>
        <v>0</v>
      </c>
      <c r="M22" s="382">
        <f t="shared" si="24"/>
        <v>0.95</v>
      </c>
      <c r="N22" s="382">
        <f>IF(Apr!$H$47="x",AU22+Apr!$N$36,AU22)</f>
        <v>3.4833333333333325</v>
      </c>
      <c r="O22" s="377" t="str">
        <f t="shared" si="21"/>
        <v>-</v>
      </c>
      <c r="P22" s="367">
        <f>ABS(M22-N22-U4)</f>
        <v>2.5333333333333323</v>
      </c>
      <c r="Q22" s="364">
        <f t="shared" si="0"/>
        <v>0</v>
      </c>
      <c r="R22" s="364">
        <f t="shared" si="1"/>
        <v>0</v>
      </c>
      <c r="S22" s="364">
        <f t="shared" si="2"/>
        <v>0</v>
      </c>
      <c r="T22" s="364">
        <f t="shared" si="3"/>
        <v>0</v>
      </c>
      <c r="U22" s="366">
        <f>L22</f>
        <v>0</v>
      </c>
      <c r="V22" s="366">
        <f t="shared" si="22"/>
        <v>0</v>
      </c>
      <c r="W22" s="366">
        <f t="shared" si="23"/>
        <v>0</v>
      </c>
      <c r="X22" s="364"/>
      <c r="Y22" s="365"/>
      <c r="Z22" s="365"/>
      <c r="AA22" s="368">
        <f t="shared" si="4"/>
        <v>0</v>
      </c>
      <c r="AB22" s="368">
        <f t="shared" si="5"/>
        <v>0</v>
      </c>
      <c r="AC22" s="368">
        <f t="shared" si="25"/>
        <v>0</v>
      </c>
      <c r="AD22" s="368">
        <f t="shared" si="6"/>
        <v>0</v>
      </c>
      <c r="AE22" s="369">
        <f t="shared" si="26"/>
        <v>0</v>
      </c>
      <c r="AF22" s="368">
        <f t="shared" si="27"/>
        <v>0</v>
      </c>
      <c r="AG22" s="369">
        <f t="shared" si="28"/>
        <v>0</v>
      </c>
      <c r="AH22" s="368">
        <f t="shared" si="7"/>
        <v>0</v>
      </c>
      <c r="AI22" s="370">
        <f>IF((D22&lt;&gt;""),VLOOKUP(D22,Data!$E$36:$H$53,4),)</f>
        <v>0</v>
      </c>
      <c r="AJ22" s="370">
        <f t="shared" si="8"/>
        <v>0</v>
      </c>
      <c r="AK22" s="371">
        <f t="shared" si="9"/>
        <v>0</v>
      </c>
      <c r="AL22" s="371">
        <f t="shared" si="10"/>
        <v>0</v>
      </c>
      <c r="AM22" s="372">
        <f t="shared" si="11"/>
        <v>0</v>
      </c>
      <c r="AN22" s="370">
        <f t="shared" si="12"/>
        <v>0</v>
      </c>
      <c r="AO22" s="373">
        <f t="shared" si="13"/>
        <v>0</v>
      </c>
      <c r="AP22" s="373">
        <f t="shared" si="14"/>
        <v>0</v>
      </c>
      <c r="AQ22" s="373">
        <f t="shared" si="15"/>
        <v>0</v>
      </c>
      <c r="AR22" s="373">
        <f t="shared" si="16"/>
        <v>0</v>
      </c>
      <c r="AS22" s="371">
        <f t="shared" si="17"/>
        <v>0</v>
      </c>
      <c r="AT22" s="371">
        <f t="shared" si="18"/>
        <v>0</v>
      </c>
      <c r="AU22" s="366">
        <f>IF(Data!$H$8="x",AV22,AW22)</f>
        <v>3.4833333333333325</v>
      </c>
      <c r="AV22" s="366">
        <f t="shared" si="19"/>
        <v>1.7416666666666663</v>
      </c>
      <c r="AW22" s="366">
        <f>AW21</f>
        <v>3.4833333333333325</v>
      </c>
      <c r="AX22" s="362" t="str">
        <f t="shared" si="20"/>
        <v>Za</v>
      </c>
      <c r="AY22" s="371">
        <f>IF((R40="M4.2")*AND(R41&lt;&gt;""),VLOOKUP(R41,Barema!$BJ$5:$BK$31,2),)</f>
        <v>0</v>
      </c>
      <c r="AZ22" s="371" t="s">
        <v>15</v>
      </c>
      <c r="BA22" s="439"/>
    </row>
    <row r="23" spans="1:53" s="376" customFormat="1" x14ac:dyDescent="0.2">
      <c r="A23" s="374"/>
      <c r="B23" s="362" t="s">
        <v>173</v>
      </c>
      <c r="C23" s="363" t="s">
        <v>366</v>
      </c>
      <c r="D23" s="364"/>
      <c r="E23" s="364"/>
      <c r="F23" s="365"/>
      <c r="G23" s="365"/>
      <c r="H23" s="365"/>
      <c r="I23" s="365"/>
      <c r="J23" s="365"/>
      <c r="K23" s="365"/>
      <c r="L23" s="366">
        <f>(G23-F23)+(I23-H23)+(K23-J23)</f>
        <v>0</v>
      </c>
      <c r="M23" s="366">
        <f t="shared" si="24"/>
        <v>0.95</v>
      </c>
      <c r="N23" s="382">
        <f>IF(Apr!$H$47="x",AU23+Apr!$N$36,AU23)</f>
        <v>3.4833333333333325</v>
      </c>
      <c r="O23" s="377" t="str">
        <f t="shared" si="21"/>
        <v>-</v>
      </c>
      <c r="P23" s="367">
        <f>ABS(M23-N23-U4)</f>
        <v>2.5333333333333323</v>
      </c>
      <c r="Q23" s="364">
        <f t="shared" si="0"/>
        <v>0</v>
      </c>
      <c r="R23" s="364">
        <f t="shared" si="1"/>
        <v>0</v>
      </c>
      <c r="S23" s="364">
        <f t="shared" si="2"/>
        <v>0</v>
      </c>
      <c r="T23" s="364">
        <f t="shared" si="3"/>
        <v>0</v>
      </c>
      <c r="U23" s="366">
        <f>L23</f>
        <v>0</v>
      </c>
      <c r="V23" s="366">
        <f t="shared" si="22"/>
        <v>0</v>
      </c>
      <c r="W23" s="366">
        <f t="shared" si="23"/>
        <v>0</v>
      </c>
      <c r="X23" s="364"/>
      <c r="Y23" s="365"/>
      <c r="Z23" s="365"/>
      <c r="AA23" s="368">
        <f t="shared" si="4"/>
        <v>0</v>
      </c>
      <c r="AB23" s="368">
        <f t="shared" si="5"/>
        <v>0</v>
      </c>
      <c r="AC23" s="368">
        <f t="shared" si="25"/>
        <v>0</v>
      </c>
      <c r="AD23" s="368">
        <f t="shared" si="6"/>
        <v>0</v>
      </c>
      <c r="AE23" s="369">
        <f t="shared" si="26"/>
        <v>0</v>
      </c>
      <c r="AF23" s="368">
        <f t="shared" si="27"/>
        <v>0</v>
      </c>
      <c r="AG23" s="369">
        <f t="shared" si="28"/>
        <v>0</v>
      </c>
      <c r="AH23" s="368">
        <f t="shared" si="7"/>
        <v>0</v>
      </c>
      <c r="AI23" s="370">
        <f>IF((D23&lt;&gt;""),VLOOKUP(D23,Data!$E$36:$H$53,4),)</f>
        <v>0</v>
      </c>
      <c r="AJ23" s="370">
        <f t="shared" si="8"/>
        <v>0</v>
      </c>
      <c r="AK23" s="371">
        <f t="shared" si="9"/>
        <v>0</v>
      </c>
      <c r="AL23" s="371">
        <f t="shared" si="10"/>
        <v>0</v>
      </c>
      <c r="AM23" s="372">
        <f t="shared" si="11"/>
        <v>0</v>
      </c>
      <c r="AN23" s="370">
        <f t="shared" si="12"/>
        <v>0</v>
      </c>
      <c r="AO23" s="373">
        <f t="shared" si="13"/>
        <v>0</v>
      </c>
      <c r="AP23" s="373">
        <f t="shared" si="14"/>
        <v>0</v>
      </c>
      <c r="AQ23" s="373">
        <f t="shared" si="15"/>
        <v>0</v>
      </c>
      <c r="AR23" s="373">
        <f t="shared" si="16"/>
        <v>0</v>
      </c>
      <c r="AS23" s="371">
        <f t="shared" si="17"/>
        <v>0</v>
      </c>
      <c r="AT23" s="371">
        <f t="shared" si="18"/>
        <v>0</v>
      </c>
      <c r="AU23" s="366">
        <f>IF(Data!$H$8="x",AV23,AW23)</f>
        <v>3.4833333333333325</v>
      </c>
      <c r="AV23" s="366">
        <f t="shared" si="19"/>
        <v>1.7416666666666663</v>
      </c>
      <c r="AW23" s="366">
        <f>AW22</f>
        <v>3.4833333333333325</v>
      </c>
      <c r="AX23" s="362" t="str">
        <f t="shared" si="20"/>
        <v>Zo</v>
      </c>
      <c r="AY23" s="371">
        <f>IF((R40="M5.1")*AND(R41&lt;&gt;""),VLOOKUP(R41,Barema!$BM$5:$BN$34,2),)</f>
        <v>35116</v>
      </c>
      <c r="AZ23" s="371" t="s">
        <v>16</v>
      </c>
      <c r="BA23" s="439"/>
    </row>
    <row r="24" spans="1:53" s="378" customFormat="1" x14ac:dyDescent="0.2">
      <c r="A24" s="309"/>
      <c r="B24" s="6" t="s">
        <v>175</v>
      </c>
      <c r="C24" s="311" t="s">
        <v>367</v>
      </c>
      <c r="D24" s="312"/>
      <c r="E24" s="312"/>
      <c r="F24" s="274"/>
      <c r="G24" s="274"/>
      <c r="H24" s="310"/>
      <c r="I24" s="310"/>
      <c r="J24" s="310"/>
      <c r="K24" s="310"/>
      <c r="L24" s="313">
        <f>(G24-F24)+(I24-H24)+(K24-J24)+AI24+AN24</f>
        <v>0</v>
      </c>
      <c r="M24" s="313">
        <f t="shared" si="24"/>
        <v>0.95</v>
      </c>
      <c r="N24" s="338">
        <f>IF(Apr!$H$47="x",AU24+Apr!$N$36,AU24)</f>
        <v>3.7999999999999989</v>
      </c>
      <c r="O24" s="337" t="str">
        <f t="shared" si="21"/>
        <v>-</v>
      </c>
      <c r="P24" s="314">
        <f>ABS(M24-N24-U4)</f>
        <v>2.8499999999999988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2"/>
        <v>0</v>
      </c>
      <c r="W24" s="313">
        <f t="shared" si="23"/>
        <v>0</v>
      </c>
      <c r="X24" s="312"/>
      <c r="Y24" s="310"/>
      <c r="Z24" s="310"/>
      <c r="AA24" s="315">
        <f>IF((G24&gt;$AD$3)*AND(F24&lt;=$AD$3),G24-$AD$3,)+IF(F24&gt;$AD$3,G24-F24,)+IF((I24&gt;$AD$3)*AND(H24&lt;=$AD$3),I24-$AD$3,)+IF((H24&gt;$AD$3),I24-H24,)+IF((K24&gt;$AD$3)*AND(J24&lt;=$AD$3),K24-$AD$3,)+IF((J24&gt;$AD$3),K24-J24,)</f>
        <v>0</v>
      </c>
      <c r="AB24" s="315">
        <f>IF((G24&gt;=$AD$1)*AND(F24&lt;$AD$1),($AD$1)-F24,)+IF((G24&lt;$AD$1),G24-F24,)+IF((I24&gt;=$AD$1)*AND(H24&lt;$AD$1),($AD$1)-H24,)+IF((I24&lt;$AD$1),I24-H24,)+IF((K24&gt;=$AD$1)*AND(J24&lt;$AD$1),($AD$1)-J24,)+IF((K24&lt;$AD$1),K24-J24,)</f>
        <v>0</v>
      </c>
      <c r="AC24" s="315">
        <f t="shared" si="25"/>
        <v>0</v>
      </c>
      <c r="AD24" s="315">
        <f>IF((G24&gt;0.91666667)*AND(F24&gt;=0.91666667),G24-F24,)+IF((G24&gt;0.91666667)*AND(F24&lt;0.91666667),G24-0.91666667,)+IF((I24&gt;0.91666667)*AND(H24&gt;=0.91666667),I24-H24,)+IF((I24&gt;0.91666667)*AND(H24&lt;0.91666667),I24-0.91666667,)+IF((K24&gt;0.91666667)*AND(J24&gt;=0.91666667),K24-J24,)+IF((K24&gt;0.91666667)*AND(J24&lt;0.91666667),K24-0.91666667,)</f>
        <v>0</v>
      </c>
      <c r="AE24" s="316">
        <f t="shared" si="26"/>
        <v>0</v>
      </c>
      <c r="AF24" s="315">
        <f t="shared" si="27"/>
        <v>0</v>
      </c>
      <c r="AG24" s="316">
        <f t="shared" si="28"/>
        <v>0</v>
      </c>
      <c r="AH24" s="315">
        <f>IF((G24&gt;=$AD$2)*AND(F24&lt;$AD$2),($AD$2)-F24,)+IF((G24&lt;$AD$2),G24-F24,)+IF((I24&gt;=$AD$2)*AND(H24&lt;$AD$2),($AD$2)-H24,)+IF((I24&lt;$AD$2),I24-H24,)+IF((K24&gt;=$AD$2)*AND(J24&lt;$AD$2),($AD$2)-J24,)+IF((K24&lt;$AD$2),K24-J24,)</f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>IF(D24="F",1,)+IF((D24="VB")*AND(((G24-F24)+(I24-H24)+(K24-J24))&gt;0),1,0)</f>
        <v>0</v>
      </c>
      <c r="AN24" s="123">
        <f>IF((D24="VB")*AND(((G24-F24)+(I24-H24)+(K24-J24))=0),"07:36",0)</f>
        <v>0</v>
      </c>
      <c r="AO24" s="317">
        <f>IF((F24&lt;=$AQ$2)*AND(G24&gt;=$AQ$3),1,)+IF((H24&lt;=$AQ$2)*AND(I24&gt;=$AQ$3),1,)+IF((J24&lt;=$AQ$2)*AND(K24&gt;=$AQ$3),1,)</f>
        <v>0</v>
      </c>
      <c r="AP24" s="317">
        <f>IF((F24&lt;=$AR$2)*AND(G24&gt;=$AR$3),1,)+IF((H24&lt;=$AR$2)*AND(I24&gt;=$AR$3),1,)+IF((J24&lt;=$AR$2)*AND(K24&gt;=$AR$3),1,)</f>
        <v>0</v>
      </c>
      <c r="AQ24" s="317">
        <f>IF((F24&lt;=$AS$2)*AND(G24&gt;=$AS$3),1,)+IF((H24&lt;=$AS$2)*AND(I24&gt;=$AS$3),1,)+IF((J24&lt;=$AS$2)*AND(K24&gt;=$AS$3),1,)</f>
        <v>0</v>
      </c>
      <c r="AR24" s="317">
        <f>IF((F24=$AT$2)*AND(G24&gt;=$AT$3),1,)+IF((H24=$AT$2)*AND(I24&gt;=$AT$3),1,)+IF((J24=$AT$2)*AND(K24&gt;=$AT$3),1,)</f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3.7999999999999989</v>
      </c>
      <c r="AV24" s="313">
        <f t="shared" si="19"/>
        <v>1.8999999999999995</v>
      </c>
      <c r="AW24" s="313">
        <f>IF(D24="V",AW23,(AW23+"07:36"))</f>
        <v>3.7999999999999989</v>
      </c>
      <c r="AX24" s="6" t="str">
        <f t="shared" si="20"/>
        <v>Ma</v>
      </c>
      <c r="AY24" s="4">
        <f>IF((R40="M5.2")*AND(R41&lt;&gt;""),VLOOKUP(R41,Barema!$BP$5:$BQ$31,2),)</f>
        <v>0</v>
      </c>
      <c r="AZ24" s="4" t="s">
        <v>17</v>
      </c>
      <c r="BA24" s="102"/>
    </row>
    <row r="25" spans="1:53" s="378" customFormat="1" x14ac:dyDescent="0.2">
      <c r="A25" s="309"/>
      <c r="B25" s="6" t="s">
        <v>177</v>
      </c>
      <c r="C25" s="311" t="s">
        <v>368</v>
      </c>
      <c r="D25" s="312"/>
      <c r="E25" s="312"/>
      <c r="F25" s="274"/>
      <c r="G25" s="274"/>
      <c r="H25" s="310"/>
      <c r="I25" s="310"/>
      <c r="J25" s="310"/>
      <c r="K25" s="310"/>
      <c r="L25" s="313">
        <f>(G25-F25)+(I25-H25)+(K25-J25)+AI25+AN25</f>
        <v>0</v>
      </c>
      <c r="M25" s="313">
        <f t="shared" si="24"/>
        <v>0.95</v>
      </c>
      <c r="N25" s="338">
        <f>IF(Apr!$H$47="x",AU25+Apr!$N$36,AU25)</f>
        <v>4.1166666666666654</v>
      </c>
      <c r="O25" s="337" t="str">
        <f t="shared" si="21"/>
        <v>-</v>
      </c>
      <c r="P25" s="314">
        <f>ABS(M25-N25-U4)</f>
        <v>3.1666666666666652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2"/>
        <v>0</v>
      </c>
      <c r="W25" s="313">
        <f t="shared" si="23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5"/>
        <v>0</v>
      </c>
      <c r="AD25" s="315">
        <f t="shared" si="6"/>
        <v>0</v>
      </c>
      <c r="AE25" s="316">
        <f t="shared" si="26"/>
        <v>0</v>
      </c>
      <c r="AF25" s="315">
        <f t="shared" si="27"/>
        <v>0</v>
      </c>
      <c r="AG25" s="316">
        <f t="shared" si="28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4.1166666666666654</v>
      </c>
      <c r="AV25" s="313">
        <f t="shared" si="19"/>
        <v>2.0583333333333327</v>
      </c>
      <c r="AW25" s="313">
        <f>IF(D25="V",AW24,(AW24+"07:36"))</f>
        <v>4.1166666666666654</v>
      </c>
      <c r="AX25" s="6" t="str">
        <f t="shared" si="20"/>
        <v>Di</v>
      </c>
      <c r="AY25" s="4">
        <f>IF((R40="M6")*AND(R41&lt;&gt;""),VLOOKUP(R41,Barema!$BS$5:$BT$31,2),)</f>
        <v>0</v>
      </c>
      <c r="AZ25" s="4" t="s">
        <v>18</v>
      </c>
      <c r="BA25" s="102"/>
    </row>
    <row r="26" spans="1:53" s="378" customFormat="1" x14ac:dyDescent="0.2">
      <c r="A26" s="309"/>
      <c r="B26" s="6" t="s">
        <v>179</v>
      </c>
      <c r="C26" s="311" t="s">
        <v>369</v>
      </c>
      <c r="D26" s="312"/>
      <c r="E26" s="312"/>
      <c r="F26" s="274"/>
      <c r="G26" s="274"/>
      <c r="H26" s="310"/>
      <c r="I26" s="310"/>
      <c r="J26" s="310"/>
      <c r="K26" s="310"/>
      <c r="L26" s="313">
        <f>(G26-F26)+(I26-H26)+(K26-J26)+AI26+AN26</f>
        <v>0</v>
      </c>
      <c r="M26" s="313">
        <f>M25+L26</f>
        <v>0.95</v>
      </c>
      <c r="N26" s="338">
        <f>IF(Apr!$H$47="x",AU26+Apr!$N$36,AU26)</f>
        <v>4.4333333333333318</v>
      </c>
      <c r="O26" s="337" t="str">
        <f t="shared" si="21"/>
        <v>-</v>
      </c>
      <c r="P26" s="314">
        <f>ABS(M26-N26-U4)</f>
        <v>3.4833333333333316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2"/>
        <v>0</v>
      </c>
      <c r="W26" s="313">
        <f t="shared" si="23"/>
        <v>0</v>
      </c>
      <c r="X26" s="312"/>
      <c r="Y26" s="310"/>
      <c r="Z26" s="310"/>
      <c r="AA26" s="315">
        <f>IF((G26&gt;$AD$3)*AND(F26&lt;=$AD$3),G26-$AD$3,)+IF(F26&gt;$AD$3,G26-F26,)+IF((I26&gt;$AD$3)*AND(H26&lt;=$AD$3),I26-$AD$3,)+IF((H26&gt;$AD$3),I26-H26,)+IF((K26&gt;$AD$3)*AND(J26&lt;=$AD$3),K26-$AD$3,)+IF((J26&gt;$AD$3),K26-J26,)</f>
        <v>0</v>
      </c>
      <c r="AB26" s="315">
        <f>IF((G26&gt;=$AD$1)*AND(F26&lt;$AD$1),($AD$1)-F26,)+IF((G26&lt;$AD$1),G26-F26,)+IF((I26&gt;=$AD$1)*AND(H26&lt;$AD$1),($AD$1)-H26,)+IF((I26&lt;$AD$1),I26-H26,)+IF((K26&gt;=$AD$1)*AND(J26&lt;$AD$1),($AD$1)-J26,)+IF((K26&lt;$AD$1),K26-J26,)</f>
        <v>0</v>
      </c>
      <c r="AC26" s="315">
        <f t="shared" si="25"/>
        <v>0</v>
      </c>
      <c r="AD26" s="315">
        <f>IF((G26&gt;0.91666667)*AND(F26&gt;=0.91666667),G26-F26,)+IF((G26&gt;0.91666667)*AND(F26&lt;0.91666667),G26-0.91666667,)+IF((I26&gt;0.91666667)*AND(H26&gt;=0.91666667),I26-H26,)+IF((I26&gt;0.91666667)*AND(H26&lt;0.91666667),I26-0.91666667,)+IF((K26&gt;0.91666667)*AND(J26&gt;=0.91666667),K26-J26,)+IF((K26&gt;0.91666667)*AND(J26&lt;0.91666667),K26-0.91666667,)</f>
        <v>0</v>
      </c>
      <c r="AE26" s="316">
        <f t="shared" si="26"/>
        <v>0</v>
      </c>
      <c r="AF26" s="315">
        <f t="shared" si="27"/>
        <v>0</v>
      </c>
      <c r="AG26" s="316">
        <f t="shared" si="28"/>
        <v>0</v>
      </c>
      <c r="AH26" s="315">
        <f>IF((G26&gt;=$AD$2)*AND(F26&lt;$AD$2),($AD$2)-F26,)+IF((G26&lt;$AD$2),G26-F26,)+IF((I26&gt;=$AD$2)*AND(H26&lt;$AD$2),($AD$2)-H26,)+IF((I26&lt;$AD$2),I26-H26,)+IF((K26&gt;=$AD$2)*AND(J26&lt;$AD$2),($AD$2)-J26,)+IF((K26&lt;$AD$2),K26-J26,)</f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>IF(D26="F",1,)+IF((D26="VB")*AND(((G26-F26)+(I26-H26)+(K26-J26))&gt;0),1,0)</f>
        <v>0</v>
      </c>
      <c r="AN26" s="123">
        <f>IF((D26="VB")*AND(((G26-F26)+(I26-H26)+(K26-J26))=0),"07:36",0)</f>
        <v>0</v>
      </c>
      <c r="AO26" s="317">
        <f>IF((F26&lt;=$AQ$2)*AND(G26&gt;=$AQ$3),1,)+IF((H26&lt;=$AQ$2)*AND(I26&gt;=$AQ$3),1,)+IF((J26&lt;=$AQ$2)*AND(K26&gt;=$AQ$3),1,)</f>
        <v>0</v>
      </c>
      <c r="AP26" s="317">
        <f>IF((F26&lt;=$AR$2)*AND(G26&gt;=$AR$3),1,)+IF((H26&lt;=$AR$2)*AND(I26&gt;=$AR$3),1,)+IF((J26&lt;=$AR$2)*AND(K26&gt;=$AR$3),1,)</f>
        <v>0</v>
      </c>
      <c r="AQ26" s="317">
        <f>IF((F26&lt;=$AS$2)*AND(G26&gt;=$AS$3),1,)+IF((H26&lt;=$AS$2)*AND(I26&gt;=$AS$3),1,)+IF((J26&lt;=$AS$2)*AND(K26&gt;=$AS$3),1,)</f>
        <v>0</v>
      </c>
      <c r="AR26" s="317">
        <f>IF((F26=$AT$2)*AND(G26&gt;=$AT$3),1,)+IF((H26=$AT$2)*AND(I26&gt;=$AT$3),1,)+IF((J26=$AT$2)*AND(K26&gt;=$AT$3),1,)</f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4.4333333333333318</v>
      </c>
      <c r="AV26" s="313">
        <f t="shared" si="19"/>
        <v>2.2166666666666659</v>
      </c>
      <c r="AW26" s="313">
        <f>IF(D26="V",AW25,(AW25+"07:36"))</f>
        <v>4.4333333333333318</v>
      </c>
      <c r="AX26" s="6" t="str">
        <f t="shared" si="20"/>
        <v>Wo</v>
      </c>
      <c r="AY26" s="4">
        <f>IF((R40="M7")*AND(R41&lt;&gt;""),VLOOKUP(R41,Barema!$BV$5:$BW$31,2),)</f>
        <v>0</v>
      </c>
      <c r="AZ26" s="4" t="s">
        <v>19</v>
      </c>
      <c r="BA26" s="102"/>
    </row>
    <row r="27" spans="1:53" s="378" customFormat="1" x14ac:dyDescent="0.2">
      <c r="A27" s="309"/>
      <c r="B27" s="6" t="s">
        <v>167</v>
      </c>
      <c r="C27" s="311" t="s">
        <v>370</v>
      </c>
      <c r="D27" s="312"/>
      <c r="E27" s="312"/>
      <c r="F27" s="274"/>
      <c r="G27" s="274"/>
      <c r="H27" s="310"/>
      <c r="I27" s="310"/>
      <c r="J27" s="310"/>
      <c r="K27" s="310"/>
      <c r="L27" s="313">
        <f>(G27-F27)+(I27-H27)+(K27-J27)+AI27+AN27</f>
        <v>0</v>
      </c>
      <c r="M27" s="313">
        <f>M26+L27</f>
        <v>0.95</v>
      </c>
      <c r="N27" s="338">
        <f>IF(Apr!$H$47="x",AU27+Apr!$N$36,AU27)</f>
        <v>4.7499999999999982</v>
      </c>
      <c r="O27" s="337" t="str">
        <f t="shared" si="21"/>
        <v>-</v>
      </c>
      <c r="P27" s="314">
        <f>ABS(M27-N27-U4)</f>
        <v>3.799999999999998</v>
      </c>
      <c r="Q27" s="312">
        <f t="shared" si="0"/>
        <v>0</v>
      </c>
      <c r="R27" s="312">
        <f t="shared" si="1"/>
        <v>0</v>
      </c>
      <c r="S27" s="312">
        <f t="shared" si="2"/>
        <v>0</v>
      </c>
      <c r="T27" s="312">
        <f t="shared" si="3"/>
        <v>0</v>
      </c>
      <c r="U27" s="313">
        <f>IF(D27="F",L27,0)</f>
        <v>0</v>
      </c>
      <c r="V27" s="313">
        <f t="shared" si="22"/>
        <v>0</v>
      </c>
      <c r="W27" s="313">
        <f t="shared" si="23"/>
        <v>0</v>
      </c>
      <c r="X27" s="312"/>
      <c r="Y27" s="310"/>
      <c r="Z27" s="310"/>
      <c r="AA27" s="315">
        <f t="shared" si="4"/>
        <v>0</v>
      </c>
      <c r="AB27" s="315">
        <f t="shared" si="5"/>
        <v>0</v>
      </c>
      <c r="AC27" s="315">
        <f t="shared" si="25"/>
        <v>0</v>
      </c>
      <c r="AD27" s="315">
        <f t="shared" si="6"/>
        <v>0</v>
      </c>
      <c r="AE27" s="316">
        <f t="shared" si="26"/>
        <v>0</v>
      </c>
      <c r="AF27" s="315">
        <f t="shared" si="27"/>
        <v>0</v>
      </c>
      <c r="AG27" s="316">
        <f t="shared" si="28"/>
        <v>0</v>
      </c>
      <c r="AH27" s="315">
        <f t="shared" si="7"/>
        <v>0</v>
      </c>
      <c r="AI27" s="123">
        <f>IF((D27&lt;&gt;""),VLOOKUP(D27,Data!$E$36:$H$53,4),)</f>
        <v>0</v>
      </c>
      <c r="AJ27" s="123">
        <f t="shared" si="8"/>
        <v>0</v>
      </c>
      <c r="AK27" s="4">
        <f t="shared" si="9"/>
        <v>0</v>
      </c>
      <c r="AL27" s="4">
        <f t="shared" si="10"/>
        <v>0</v>
      </c>
      <c r="AM27" s="1">
        <f t="shared" si="11"/>
        <v>0</v>
      </c>
      <c r="AN27" s="123">
        <f t="shared" si="12"/>
        <v>0</v>
      </c>
      <c r="AO27" s="317">
        <f t="shared" si="13"/>
        <v>0</v>
      </c>
      <c r="AP27" s="317">
        <f t="shared" si="14"/>
        <v>0</v>
      </c>
      <c r="AQ27" s="317">
        <f t="shared" si="15"/>
        <v>0</v>
      </c>
      <c r="AR27" s="317">
        <f t="shared" si="16"/>
        <v>0</v>
      </c>
      <c r="AS27" s="4">
        <f t="shared" si="17"/>
        <v>0</v>
      </c>
      <c r="AT27" s="4">
        <f t="shared" si="18"/>
        <v>0</v>
      </c>
      <c r="AU27" s="313">
        <f>IF(Data!$H$8="x",AV27,AW27)</f>
        <v>4.7499999999999982</v>
      </c>
      <c r="AV27" s="313">
        <f t="shared" si="19"/>
        <v>2.3749999999999991</v>
      </c>
      <c r="AW27" s="313">
        <f>IF(D27="V",AW26,(AW26+"07:36"))</f>
        <v>4.7499999999999982</v>
      </c>
      <c r="AX27" s="6" t="str">
        <f t="shared" si="20"/>
        <v>Do</v>
      </c>
      <c r="AY27" s="4">
        <f>IF((R40="M7bis")*AND(R41&lt;&gt;""),VLOOKUP(R41,Barema!$BY$5:$BZ$31,2),)</f>
        <v>0</v>
      </c>
      <c r="AZ27" s="4" t="s">
        <v>20</v>
      </c>
      <c r="BA27" s="102"/>
    </row>
    <row r="28" spans="1:53" s="378" customFormat="1" x14ac:dyDescent="0.2">
      <c r="A28" s="309"/>
      <c r="B28" s="6" t="s">
        <v>169</v>
      </c>
      <c r="C28" s="311" t="s">
        <v>371</v>
      </c>
      <c r="D28" s="312"/>
      <c r="E28" s="312"/>
      <c r="F28" s="274"/>
      <c r="G28" s="274"/>
      <c r="H28" s="310"/>
      <c r="I28" s="310"/>
      <c r="J28" s="310"/>
      <c r="K28" s="310"/>
      <c r="L28" s="313">
        <f>(G28-F28)+(I28-H28)+(K28-J28)+AI28+AN28</f>
        <v>0</v>
      </c>
      <c r="M28" s="338">
        <f t="shared" si="24"/>
        <v>0.95</v>
      </c>
      <c r="N28" s="338">
        <f>IF(Apr!$H$47="x",AU28+Apr!$N$36,AU28)</f>
        <v>5.0666666666666647</v>
      </c>
      <c r="O28" s="337" t="str">
        <f t="shared" si="21"/>
        <v>-</v>
      </c>
      <c r="P28" s="314">
        <f>ABS(M28-N28-U4)</f>
        <v>4.1166666666666645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2"/>
        <v>0</v>
      </c>
      <c r="W28" s="313">
        <f t="shared" si="23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5"/>
        <v>0</v>
      </c>
      <c r="AD28" s="315">
        <f t="shared" si="6"/>
        <v>0</v>
      </c>
      <c r="AE28" s="316">
        <f t="shared" si="26"/>
        <v>0</v>
      </c>
      <c r="AF28" s="315">
        <f t="shared" si="27"/>
        <v>0</v>
      </c>
      <c r="AG28" s="316">
        <f t="shared" si="28"/>
        <v>0</v>
      </c>
      <c r="AH28" s="315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Vr</v>
      </c>
      <c r="AY28" s="4">
        <f>IF((R40="O1")*AND(R41&lt;&gt;""),VLOOKUP(R41,Barema!$Q$39:$R$65,2),)</f>
        <v>0</v>
      </c>
      <c r="AZ28" s="4" t="s">
        <v>21</v>
      </c>
      <c r="BA28" s="102"/>
    </row>
    <row r="29" spans="1:53" s="376" customFormat="1" x14ac:dyDescent="0.2">
      <c r="A29" s="374"/>
      <c r="B29" s="362" t="s">
        <v>171</v>
      </c>
      <c r="C29" s="363" t="s">
        <v>372</v>
      </c>
      <c r="D29" s="364"/>
      <c r="E29" s="364"/>
      <c r="F29" s="365"/>
      <c r="G29" s="365"/>
      <c r="H29" s="365"/>
      <c r="I29" s="365"/>
      <c r="J29" s="365"/>
      <c r="K29" s="365"/>
      <c r="L29" s="366">
        <f>(G29-F29)+(I29-H29)+(K29-J29)</f>
        <v>0</v>
      </c>
      <c r="M29" s="366">
        <f t="shared" si="24"/>
        <v>0.95</v>
      </c>
      <c r="N29" s="382">
        <f>IF(Apr!$H$47="x",AU29+Apr!$N$36,AU29)</f>
        <v>5.0666666666666647</v>
      </c>
      <c r="O29" s="377" t="str">
        <f t="shared" si="21"/>
        <v>-</v>
      </c>
      <c r="P29" s="367">
        <f>ABS(M29-N29-U4)</f>
        <v>4.1166666666666645</v>
      </c>
      <c r="Q29" s="364">
        <f t="shared" si="0"/>
        <v>0</v>
      </c>
      <c r="R29" s="364">
        <f t="shared" si="1"/>
        <v>0</v>
      </c>
      <c r="S29" s="364">
        <f t="shared" si="2"/>
        <v>0</v>
      </c>
      <c r="T29" s="364">
        <f t="shared" si="3"/>
        <v>0</v>
      </c>
      <c r="U29" s="366">
        <f>L29</f>
        <v>0</v>
      </c>
      <c r="V29" s="366">
        <f t="shared" si="22"/>
        <v>0</v>
      </c>
      <c r="W29" s="366">
        <f t="shared" si="23"/>
        <v>0</v>
      </c>
      <c r="X29" s="364"/>
      <c r="Y29" s="365"/>
      <c r="Z29" s="365"/>
      <c r="AA29" s="368">
        <f t="shared" si="4"/>
        <v>0</v>
      </c>
      <c r="AB29" s="368">
        <f t="shared" si="5"/>
        <v>0</v>
      </c>
      <c r="AC29" s="368">
        <f t="shared" si="25"/>
        <v>0</v>
      </c>
      <c r="AD29" s="368">
        <f t="shared" si="6"/>
        <v>0</v>
      </c>
      <c r="AE29" s="369">
        <f t="shared" si="26"/>
        <v>0</v>
      </c>
      <c r="AF29" s="368">
        <f t="shared" si="27"/>
        <v>0</v>
      </c>
      <c r="AG29" s="369">
        <f t="shared" si="28"/>
        <v>0</v>
      </c>
      <c r="AH29" s="368">
        <f t="shared" si="7"/>
        <v>0</v>
      </c>
      <c r="AI29" s="370">
        <f>IF((D29&lt;&gt;""),VLOOKUP(D29,Data!$E$36:$H$53,4),)</f>
        <v>0</v>
      </c>
      <c r="AJ29" s="370">
        <f t="shared" si="8"/>
        <v>0</v>
      </c>
      <c r="AK29" s="371">
        <f t="shared" si="9"/>
        <v>0</v>
      </c>
      <c r="AL29" s="371">
        <f t="shared" si="10"/>
        <v>0</v>
      </c>
      <c r="AM29" s="372">
        <f t="shared" si="11"/>
        <v>0</v>
      </c>
      <c r="AN29" s="370">
        <f t="shared" si="12"/>
        <v>0</v>
      </c>
      <c r="AO29" s="373">
        <f t="shared" si="13"/>
        <v>0</v>
      </c>
      <c r="AP29" s="373">
        <f t="shared" si="14"/>
        <v>0</v>
      </c>
      <c r="AQ29" s="373">
        <f t="shared" si="15"/>
        <v>0</v>
      </c>
      <c r="AR29" s="373">
        <f t="shared" si="16"/>
        <v>0</v>
      </c>
      <c r="AS29" s="371">
        <f t="shared" si="17"/>
        <v>0</v>
      </c>
      <c r="AT29" s="371">
        <f t="shared" si="18"/>
        <v>0</v>
      </c>
      <c r="AU29" s="366">
        <f>IF(Data!$H$8="x",AV29,AW29)</f>
        <v>5.0666666666666647</v>
      </c>
      <c r="AV29" s="366">
        <f t="shared" si="19"/>
        <v>2.5333333333333323</v>
      </c>
      <c r="AW29" s="366">
        <f>AW28</f>
        <v>5.0666666666666647</v>
      </c>
      <c r="AX29" s="362" t="str">
        <f t="shared" si="20"/>
        <v>Za</v>
      </c>
      <c r="AY29" s="371">
        <f>IF((R40="O2")*AND(R41&lt;&gt;""),VLOOKUP(R41,Barema!$T$39:$U$65,2),)</f>
        <v>0</v>
      </c>
      <c r="AZ29" s="371" t="s">
        <v>22</v>
      </c>
      <c r="BA29" s="439"/>
    </row>
    <row r="30" spans="1:53" s="376" customFormat="1" x14ac:dyDescent="0.2">
      <c r="A30" s="374"/>
      <c r="B30" s="362" t="s">
        <v>173</v>
      </c>
      <c r="C30" s="363" t="s">
        <v>373</v>
      </c>
      <c r="D30" s="364"/>
      <c r="E30" s="364"/>
      <c r="F30" s="365"/>
      <c r="G30" s="365"/>
      <c r="H30" s="365"/>
      <c r="I30" s="365"/>
      <c r="J30" s="365"/>
      <c r="K30" s="365"/>
      <c r="L30" s="366">
        <f>(G30-F30)+(I30-H30)+(K30-J30)</f>
        <v>0</v>
      </c>
      <c r="M30" s="366">
        <f t="shared" si="24"/>
        <v>0.95</v>
      </c>
      <c r="N30" s="382">
        <f>IF(Apr!$H$47="x",AU30+Apr!$N$36,AU30)</f>
        <v>5.0666666666666647</v>
      </c>
      <c r="O30" s="377" t="str">
        <f t="shared" si="21"/>
        <v>-</v>
      </c>
      <c r="P30" s="367">
        <f>ABS(M30-N30-U4)</f>
        <v>4.1166666666666645</v>
      </c>
      <c r="Q30" s="364">
        <f t="shared" si="0"/>
        <v>0</v>
      </c>
      <c r="R30" s="364">
        <f t="shared" si="1"/>
        <v>0</v>
      </c>
      <c r="S30" s="364">
        <f t="shared" si="2"/>
        <v>0</v>
      </c>
      <c r="T30" s="364">
        <f t="shared" si="3"/>
        <v>0</v>
      </c>
      <c r="U30" s="366">
        <f>L30</f>
        <v>0</v>
      </c>
      <c r="V30" s="366">
        <f t="shared" si="22"/>
        <v>0</v>
      </c>
      <c r="W30" s="366">
        <f t="shared" si="23"/>
        <v>0</v>
      </c>
      <c r="X30" s="364"/>
      <c r="Y30" s="365"/>
      <c r="Z30" s="365"/>
      <c r="AA30" s="368">
        <f t="shared" si="4"/>
        <v>0</v>
      </c>
      <c r="AB30" s="368">
        <f t="shared" si="5"/>
        <v>0</v>
      </c>
      <c r="AC30" s="368">
        <f t="shared" si="25"/>
        <v>0</v>
      </c>
      <c r="AD30" s="368">
        <f t="shared" si="6"/>
        <v>0</v>
      </c>
      <c r="AE30" s="369">
        <f t="shared" si="26"/>
        <v>0</v>
      </c>
      <c r="AF30" s="368">
        <f t="shared" si="27"/>
        <v>0</v>
      </c>
      <c r="AG30" s="369">
        <f t="shared" si="28"/>
        <v>0</v>
      </c>
      <c r="AH30" s="368">
        <f t="shared" si="7"/>
        <v>0</v>
      </c>
      <c r="AI30" s="370">
        <f>IF((D30&lt;&gt;""),VLOOKUP(D30,Data!$E$36:$H$53,4),)</f>
        <v>0</v>
      </c>
      <c r="AJ30" s="370">
        <f t="shared" si="8"/>
        <v>0</v>
      </c>
      <c r="AK30" s="371">
        <f t="shared" si="9"/>
        <v>0</v>
      </c>
      <c r="AL30" s="371">
        <f t="shared" si="10"/>
        <v>0</v>
      </c>
      <c r="AM30" s="372">
        <f t="shared" si="11"/>
        <v>0</v>
      </c>
      <c r="AN30" s="370">
        <f t="shared" si="12"/>
        <v>0</v>
      </c>
      <c r="AO30" s="373">
        <f t="shared" si="13"/>
        <v>0</v>
      </c>
      <c r="AP30" s="373">
        <f t="shared" si="14"/>
        <v>0</v>
      </c>
      <c r="AQ30" s="373">
        <f t="shared" si="15"/>
        <v>0</v>
      </c>
      <c r="AR30" s="373">
        <f t="shared" si="16"/>
        <v>0</v>
      </c>
      <c r="AS30" s="371">
        <f t="shared" si="17"/>
        <v>0</v>
      </c>
      <c r="AT30" s="371">
        <f t="shared" si="18"/>
        <v>0</v>
      </c>
      <c r="AU30" s="366">
        <f>IF(Data!$H$8="x",AV30,AW30)</f>
        <v>5.0666666666666647</v>
      </c>
      <c r="AV30" s="366">
        <f t="shared" si="19"/>
        <v>2.5333333333333323</v>
      </c>
      <c r="AW30" s="366">
        <f>AW29</f>
        <v>5.0666666666666647</v>
      </c>
      <c r="AX30" s="362" t="str">
        <f t="shared" si="20"/>
        <v>Zo</v>
      </c>
      <c r="AY30" s="371">
        <f>IF((R40="O2ir")*AND(R41&lt;&gt;""),VLOOKUP(R41,Barema!$AR$39:$AS$65,2),)</f>
        <v>0</v>
      </c>
      <c r="AZ30" s="371" t="s">
        <v>30</v>
      </c>
      <c r="BA30" s="439"/>
    </row>
    <row r="31" spans="1:53" s="407" customFormat="1" x14ac:dyDescent="0.2">
      <c r="A31" s="406"/>
      <c r="B31" s="385" t="s">
        <v>175</v>
      </c>
      <c r="C31" s="386" t="s">
        <v>374</v>
      </c>
      <c r="D31" s="387" t="s">
        <v>79</v>
      </c>
      <c r="E31" s="387"/>
      <c r="F31" s="388"/>
      <c r="G31" s="388"/>
      <c r="H31" s="388"/>
      <c r="I31" s="388"/>
      <c r="J31" s="388"/>
      <c r="K31" s="388"/>
      <c r="L31" s="389">
        <f>(G31-F31)+(I31-H31)+(K31-J31)+AI31+AN31</f>
        <v>0.31666666666666665</v>
      </c>
      <c r="M31" s="389">
        <f t="shared" si="24"/>
        <v>1.2666666666666666</v>
      </c>
      <c r="N31" s="390">
        <f>IF(Apr!$H$47="x",AU31+Apr!$N$36,AU31)</f>
        <v>5.3833333333333311</v>
      </c>
      <c r="O31" s="391" t="str">
        <f t="shared" si="21"/>
        <v>-</v>
      </c>
      <c r="P31" s="392">
        <f>ABS(M31-N31-U4)</f>
        <v>4.1166666666666645</v>
      </c>
      <c r="Q31" s="387">
        <f t="shared" si="0"/>
        <v>0</v>
      </c>
      <c r="R31" s="387">
        <f t="shared" si="1"/>
        <v>0</v>
      </c>
      <c r="S31" s="387">
        <f t="shared" si="2"/>
        <v>0</v>
      </c>
      <c r="T31" s="387">
        <f t="shared" si="3"/>
        <v>0</v>
      </c>
      <c r="U31" s="389">
        <f>IF(D31="F",L31,0)</f>
        <v>0</v>
      </c>
      <c r="V31" s="389">
        <f t="shared" si="22"/>
        <v>0</v>
      </c>
      <c r="W31" s="389">
        <f t="shared" si="23"/>
        <v>0</v>
      </c>
      <c r="X31" s="387"/>
      <c r="Y31" s="388"/>
      <c r="Z31" s="388"/>
      <c r="AA31" s="393">
        <f t="shared" si="4"/>
        <v>0</v>
      </c>
      <c r="AB31" s="393">
        <f t="shared" si="5"/>
        <v>0</v>
      </c>
      <c r="AC31" s="393">
        <f t="shared" si="25"/>
        <v>0</v>
      </c>
      <c r="AD31" s="393">
        <f t="shared" si="6"/>
        <v>0</v>
      </c>
      <c r="AE31" s="394">
        <f t="shared" si="26"/>
        <v>0</v>
      </c>
      <c r="AF31" s="393">
        <f t="shared" si="27"/>
        <v>0</v>
      </c>
      <c r="AG31" s="394">
        <f t="shared" si="28"/>
        <v>0</v>
      </c>
      <c r="AH31" s="393">
        <f t="shared" si="7"/>
        <v>0</v>
      </c>
      <c r="AI31" s="395">
        <f>IF((D31&lt;&gt;""),VLOOKUP(D31,Data!$E$36:$H$53,4),)</f>
        <v>0.31666666666666665</v>
      </c>
      <c r="AJ31" s="395">
        <f t="shared" si="8"/>
        <v>0</v>
      </c>
      <c r="AK31" s="396" t="str">
        <f t="shared" si="9"/>
        <v>FV</v>
      </c>
      <c r="AL31" s="396">
        <f t="shared" si="10"/>
        <v>0</v>
      </c>
      <c r="AM31" s="397">
        <f t="shared" si="11"/>
        <v>0</v>
      </c>
      <c r="AN31" s="395">
        <f t="shared" si="12"/>
        <v>0</v>
      </c>
      <c r="AO31" s="398">
        <f t="shared" si="13"/>
        <v>0</v>
      </c>
      <c r="AP31" s="398">
        <f t="shared" si="14"/>
        <v>0</v>
      </c>
      <c r="AQ31" s="398">
        <f t="shared" si="15"/>
        <v>0</v>
      </c>
      <c r="AR31" s="398">
        <f t="shared" si="16"/>
        <v>0</v>
      </c>
      <c r="AS31" s="396">
        <f t="shared" si="17"/>
        <v>0</v>
      </c>
      <c r="AT31" s="396">
        <f t="shared" si="18"/>
        <v>0</v>
      </c>
      <c r="AU31" s="389">
        <f>IF(Data!$H$8="x",AV31,AW31)</f>
        <v>5.3833333333333311</v>
      </c>
      <c r="AV31" s="389">
        <f t="shared" si="19"/>
        <v>2.6916666666666655</v>
      </c>
      <c r="AW31" s="389">
        <f>IF(D31="V",AW30,(AW30+"07:36"))</f>
        <v>5.3833333333333311</v>
      </c>
      <c r="AX31" s="416" t="str">
        <f t="shared" si="20"/>
        <v>Ma</v>
      </c>
      <c r="AY31" s="396">
        <f>IF((R40="O3")*AND(R41&lt;&gt;""),VLOOKUP(R41,Barema!$W$39:$X$65,2),)</f>
        <v>0</v>
      </c>
      <c r="AZ31" s="396" t="s">
        <v>23</v>
      </c>
      <c r="BA31" s="102"/>
    </row>
    <row r="32" spans="1:53" s="378" customFormat="1" x14ac:dyDescent="0.2">
      <c r="A32" s="309"/>
      <c r="B32" s="6" t="s">
        <v>177</v>
      </c>
      <c r="C32" s="311" t="s">
        <v>375</v>
      </c>
      <c r="D32" s="312"/>
      <c r="E32" s="312"/>
      <c r="F32" s="274"/>
      <c r="G32" s="274"/>
      <c r="H32" s="310"/>
      <c r="I32" s="310"/>
      <c r="J32" s="310"/>
      <c r="K32" s="310"/>
      <c r="L32" s="313">
        <f>(G32-F32)+(I32-H32)+(K32-J32)+AI32+AN32</f>
        <v>0</v>
      </c>
      <c r="M32" s="313">
        <f t="shared" si="24"/>
        <v>1.2666666666666666</v>
      </c>
      <c r="N32" s="338">
        <f>IF(Apr!$H$47="x",AU32+Apr!$N$36,AU32)</f>
        <v>5.6999999999999975</v>
      </c>
      <c r="O32" s="337" t="str">
        <f t="shared" si="21"/>
        <v>-</v>
      </c>
      <c r="P32" s="314">
        <f>ABS(M32-N32-U4)</f>
        <v>4.4333333333333309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13">
        <f>IF(D32="F",L32,0)</f>
        <v>0</v>
      </c>
      <c r="V32" s="313">
        <f t="shared" si="22"/>
        <v>0</v>
      </c>
      <c r="W32" s="313">
        <f t="shared" si="23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5"/>
        <v>0</v>
      </c>
      <c r="AD32" s="315">
        <f t="shared" si="6"/>
        <v>0</v>
      </c>
      <c r="AE32" s="316">
        <f t="shared" si="26"/>
        <v>0</v>
      </c>
      <c r="AF32" s="315">
        <f t="shared" si="27"/>
        <v>0</v>
      </c>
      <c r="AG32" s="316">
        <f t="shared" si="28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5.6999999999999975</v>
      </c>
      <c r="AV32" s="313">
        <f t="shared" si="19"/>
        <v>2.8499999999999988</v>
      </c>
      <c r="AW32" s="313">
        <f>IF(D32="V",AW31,(AW31+"07:36"))</f>
        <v>5.6999999999999975</v>
      </c>
      <c r="AX32" s="6" t="str">
        <f t="shared" si="20"/>
        <v>Di</v>
      </c>
      <c r="AY32" s="4">
        <f>IF((R40="O3ir")*AND(R41&lt;&gt;""),VLOOKUP(R41,Barema!$AU$39:$AV$65,2),)</f>
        <v>0</v>
      </c>
      <c r="AZ32" s="4" t="s">
        <v>31</v>
      </c>
      <c r="BA32" s="102"/>
    </row>
    <row r="33" spans="1:54" s="378" customFormat="1" x14ac:dyDescent="0.2">
      <c r="A33" s="309"/>
      <c r="B33" s="6" t="s">
        <v>179</v>
      </c>
      <c r="C33" s="311" t="s">
        <v>376</v>
      </c>
      <c r="D33" s="312"/>
      <c r="E33" s="312"/>
      <c r="F33" s="274"/>
      <c r="G33" s="274"/>
      <c r="H33" s="310"/>
      <c r="I33" s="310"/>
      <c r="J33" s="310"/>
      <c r="K33" s="310"/>
      <c r="L33" s="313">
        <f>(G33-F33)+(I33-H33)+(K33-J33)+AI33+AN33</f>
        <v>0</v>
      </c>
      <c r="M33" s="313">
        <f>M32+L33</f>
        <v>1.2666666666666666</v>
      </c>
      <c r="N33" s="338">
        <f>IF(Apr!$H$47="x",AU33+Apr!$N$36,AU33)</f>
        <v>6.0166666666666639</v>
      </c>
      <c r="O33" s="337" t="str">
        <f t="shared" si="21"/>
        <v>-</v>
      </c>
      <c r="P33" s="314">
        <f>ABS(M33-N33-U4)</f>
        <v>4.7499999999999973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13">
        <f>IF(D33="F",L33,0)</f>
        <v>0</v>
      </c>
      <c r="V33" s="313">
        <f t="shared" si="22"/>
        <v>0</v>
      </c>
      <c r="W33" s="313">
        <f t="shared" si="23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5"/>
        <v>0</v>
      </c>
      <c r="AD33" s="315">
        <f t="shared" si="6"/>
        <v>0</v>
      </c>
      <c r="AE33" s="316">
        <f t="shared" si="26"/>
        <v>0</v>
      </c>
      <c r="AF33" s="315">
        <f t="shared" si="27"/>
        <v>0</v>
      </c>
      <c r="AG33" s="316">
        <f t="shared" si="28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6.0166666666666639</v>
      </c>
      <c r="AV33" s="313">
        <f t="shared" si="19"/>
        <v>3.008333333333332</v>
      </c>
      <c r="AW33" s="313">
        <f>IF(D33="V",AW32,(AW32+"07:36"))</f>
        <v>6.0166666666666639</v>
      </c>
      <c r="AX33" s="6" t="str">
        <f t="shared" si="20"/>
        <v>Wo</v>
      </c>
      <c r="AY33" s="4">
        <f>IF((R40="O4")*AND(R41&lt;&gt;""),VLOOKUP(R41,Barema!$Z$39:$AA$65,2),)</f>
        <v>0</v>
      </c>
      <c r="AZ33" s="4" t="s">
        <v>24</v>
      </c>
      <c r="BA33" s="102"/>
    </row>
    <row r="34" spans="1:54" s="378" customFormat="1" x14ac:dyDescent="0.2">
      <c r="A34" s="309"/>
      <c r="B34" s="6" t="s">
        <v>167</v>
      </c>
      <c r="C34" s="311" t="s">
        <v>377</v>
      </c>
      <c r="D34" s="312"/>
      <c r="E34" s="312"/>
      <c r="F34" s="274"/>
      <c r="G34" s="274"/>
      <c r="H34" s="310"/>
      <c r="I34" s="310"/>
      <c r="J34" s="310"/>
      <c r="K34" s="310"/>
      <c r="L34" s="313">
        <f>(G34-F34)+(I34-H34)+(K34-J34)+AI34+AN34</f>
        <v>0</v>
      </c>
      <c r="M34" s="313">
        <f>M33+L34</f>
        <v>1.2666666666666666</v>
      </c>
      <c r="N34" s="338">
        <f>IF(Apr!$H$47="x",AU34+Apr!$N$36,AU34)</f>
        <v>6.3333333333333304</v>
      </c>
      <c r="O34" s="337" t="str">
        <f t="shared" si="21"/>
        <v>-</v>
      </c>
      <c r="P34" s="314">
        <f>ABS(M34-N34-U4)</f>
        <v>5.0666666666666638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13">
        <f>IF(D34="F",L34,0)</f>
        <v>0</v>
      </c>
      <c r="V34" s="313">
        <f t="shared" si="22"/>
        <v>0</v>
      </c>
      <c r="W34" s="313">
        <f t="shared" si="23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5"/>
        <v>0</v>
      </c>
      <c r="AD34" s="315">
        <f t="shared" si="6"/>
        <v>0</v>
      </c>
      <c r="AE34" s="316">
        <f t="shared" si="26"/>
        <v>0</v>
      </c>
      <c r="AF34" s="315">
        <f t="shared" si="27"/>
        <v>0</v>
      </c>
      <c r="AG34" s="316">
        <f t="shared" si="28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Do</v>
      </c>
      <c r="AY34" s="4">
        <f>IF((R40="O4bis")*AND(R41&lt;&gt;""),VLOOKUP(R41,Barema!$BG$39:$BH$65,2),)</f>
        <v>0</v>
      </c>
      <c r="AZ34" s="4" t="s">
        <v>35</v>
      </c>
      <c r="BA34" s="102"/>
    </row>
    <row r="35" spans="1:54" s="378" customFormat="1" x14ac:dyDescent="0.2">
      <c r="A35" s="309"/>
      <c r="B35" s="6" t="s">
        <v>169</v>
      </c>
      <c r="C35" s="311" t="s">
        <v>378</v>
      </c>
      <c r="D35" s="312"/>
      <c r="E35" s="312"/>
      <c r="F35" s="274"/>
      <c r="G35" s="274"/>
      <c r="H35" s="310"/>
      <c r="I35" s="310"/>
      <c r="J35" s="310"/>
      <c r="K35" s="310"/>
      <c r="L35" s="313">
        <f>(G35-F35)+(I35-H35)+(K35-J35)+AI35+AN35</f>
        <v>0</v>
      </c>
      <c r="M35" s="338">
        <f t="shared" si="24"/>
        <v>1.2666666666666666</v>
      </c>
      <c r="N35" s="338">
        <f>IF(Apr!$H$47="x",AU35+Apr!$N$36,AU35)</f>
        <v>6.6499999999999968</v>
      </c>
      <c r="O35" s="337" t="str">
        <f t="shared" si="21"/>
        <v>-</v>
      </c>
      <c r="P35" s="314">
        <f>ABS(M35-N35-U4)</f>
        <v>5.3833333333333302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13">
        <f>IF(D35="F",L35,0)</f>
        <v>0</v>
      </c>
      <c r="V35" s="313">
        <f t="shared" si="22"/>
        <v>0</v>
      </c>
      <c r="W35" s="313">
        <f t="shared" si="23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5"/>
        <v>0</v>
      </c>
      <c r="AD35" s="315">
        <f t="shared" si="6"/>
        <v>0</v>
      </c>
      <c r="AE35" s="316">
        <f t="shared" si="26"/>
        <v>0</v>
      </c>
      <c r="AF35" s="315">
        <f t="shared" si="27"/>
        <v>0</v>
      </c>
      <c r="AG35" s="316">
        <f t="shared" si="28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Vr</v>
      </c>
      <c r="AY35" s="4">
        <f>IF((R40="O4bis-ir")*AND(R41&lt;&gt;""),VLOOKUP(R41,Barema!$AO$39:$AP$65,2),)</f>
        <v>0</v>
      </c>
      <c r="AZ35" s="4" t="s">
        <v>29</v>
      </c>
      <c r="BA35" s="102"/>
    </row>
    <row r="36" spans="1:54" s="376" customFormat="1" x14ac:dyDescent="0.2">
      <c r="A36" s="374"/>
      <c r="B36" s="362" t="s">
        <v>171</v>
      </c>
      <c r="C36" s="363" t="s">
        <v>379</v>
      </c>
      <c r="D36" s="364"/>
      <c r="E36" s="413"/>
      <c r="F36" s="365"/>
      <c r="G36" s="365"/>
      <c r="H36" s="365"/>
      <c r="I36" s="365"/>
      <c r="J36" s="365"/>
      <c r="K36" s="365"/>
      <c r="L36" s="366">
        <f>(G36-F36)+(I36-H36)+(K36-J36)</f>
        <v>0</v>
      </c>
      <c r="M36" s="366">
        <f t="shared" si="24"/>
        <v>1.2666666666666666</v>
      </c>
      <c r="N36" s="382">
        <f>IF(Apr!$H$47="x",AU36+Apr!$N$36,AU36)</f>
        <v>6.6499999999999968</v>
      </c>
      <c r="O36" s="377" t="str">
        <f t="shared" si="21"/>
        <v>-</v>
      </c>
      <c r="P36" s="367">
        <f>ABS(M36-N36-U4)</f>
        <v>5.3833333333333302</v>
      </c>
      <c r="Q36" s="364">
        <f t="shared" si="0"/>
        <v>0</v>
      </c>
      <c r="R36" s="364">
        <f t="shared" si="1"/>
        <v>0</v>
      </c>
      <c r="S36" s="364">
        <f t="shared" si="2"/>
        <v>0</v>
      </c>
      <c r="T36" s="364">
        <f t="shared" si="3"/>
        <v>0</v>
      </c>
      <c r="U36" s="366">
        <f>L36</f>
        <v>0</v>
      </c>
      <c r="V36" s="366">
        <f t="shared" si="22"/>
        <v>0</v>
      </c>
      <c r="W36" s="366">
        <f t="shared" si="23"/>
        <v>0</v>
      </c>
      <c r="X36" s="364"/>
      <c r="Y36" s="365"/>
      <c r="Z36" s="365"/>
      <c r="AA36" s="368">
        <f t="shared" si="4"/>
        <v>0</v>
      </c>
      <c r="AB36" s="368">
        <f t="shared" si="5"/>
        <v>0</v>
      </c>
      <c r="AC36" s="368">
        <f t="shared" si="25"/>
        <v>0</v>
      </c>
      <c r="AD36" s="368">
        <f t="shared" si="6"/>
        <v>0</v>
      </c>
      <c r="AE36" s="369">
        <f t="shared" si="26"/>
        <v>0</v>
      </c>
      <c r="AF36" s="368">
        <f t="shared" si="27"/>
        <v>0</v>
      </c>
      <c r="AG36" s="369">
        <f t="shared" si="28"/>
        <v>0</v>
      </c>
      <c r="AH36" s="368">
        <f t="shared" si="7"/>
        <v>0</v>
      </c>
      <c r="AI36" s="370">
        <f>IF((D36&lt;&gt;""),VLOOKUP(D36,Data!$E$36:$H$53,4),)</f>
        <v>0</v>
      </c>
      <c r="AJ36" s="370">
        <f t="shared" si="8"/>
        <v>0</v>
      </c>
      <c r="AK36" s="371">
        <f t="shared" si="9"/>
        <v>0</v>
      </c>
      <c r="AL36" s="371">
        <f t="shared" si="10"/>
        <v>0</v>
      </c>
      <c r="AM36" s="372">
        <f t="shared" si="11"/>
        <v>0</v>
      </c>
      <c r="AN36" s="370">
        <f t="shared" si="12"/>
        <v>0</v>
      </c>
      <c r="AO36" s="373">
        <f t="shared" si="13"/>
        <v>0</v>
      </c>
      <c r="AP36" s="373">
        <f t="shared" si="14"/>
        <v>0</v>
      </c>
      <c r="AQ36" s="373">
        <f t="shared" si="15"/>
        <v>0</v>
      </c>
      <c r="AR36" s="373">
        <f t="shared" si="16"/>
        <v>0</v>
      </c>
      <c r="AS36" s="371">
        <f t="shared" si="17"/>
        <v>0</v>
      </c>
      <c r="AT36" s="371">
        <f t="shared" si="18"/>
        <v>0</v>
      </c>
      <c r="AU36" s="366">
        <f>IF(Data!$H$8="x",AV36,AW36)</f>
        <v>6.6499999999999968</v>
      </c>
      <c r="AV36" s="366">
        <f t="shared" si="19"/>
        <v>3.3249999999999984</v>
      </c>
      <c r="AW36" s="366">
        <f>AW35</f>
        <v>6.6499999999999968</v>
      </c>
      <c r="AX36" s="362" t="str">
        <f t="shared" si="20"/>
        <v>Za</v>
      </c>
      <c r="AY36" s="371">
        <f>IF((R40="O4ir")*AND(R41&lt;&gt;""),VLOOKUP(R41,Barema!$AX$39:$AY$65,2),)</f>
        <v>0</v>
      </c>
      <c r="AZ36" s="371" t="s">
        <v>32</v>
      </c>
      <c r="BA36" s="439"/>
    </row>
    <row r="37" spans="1:54" s="376" customFormat="1" x14ac:dyDescent="0.2">
      <c r="A37" s="374"/>
      <c r="B37" s="362" t="s">
        <v>173</v>
      </c>
      <c r="C37" s="363" t="s">
        <v>380</v>
      </c>
      <c r="D37" s="364"/>
      <c r="E37" s="364"/>
      <c r="F37" s="365"/>
      <c r="G37" s="365"/>
      <c r="H37" s="365"/>
      <c r="I37" s="365"/>
      <c r="J37" s="365"/>
      <c r="K37" s="365"/>
      <c r="L37" s="366">
        <f>(G37-F37)+(I37-H37)+(K37-J37)</f>
        <v>0</v>
      </c>
      <c r="M37" s="366">
        <f t="shared" si="24"/>
        <v>1.2666666666666666</v>
      </c>
      <c r="N37" s="382">
        <f>IF(Apr!$H$47="x",AU37+Apr!$N$36,AU37)</f>
        <v>6.6499999999999968</v>
      </c>
      <c r="O37" s="377" t="str">
        <f t="shared" si="21"/>
        <v>-</v>
      </c>
      <c r="P37" s="367">
        <f>ABS(M37-N37-U4)</f>
        <v>5.3833333333333302</v>
      </c>
      <c r="Q37" s="364">
        <f t="shared" si="0"/>
        <v>0</v>
      </c>
      <c r="R37" s="364">
        <f t="shared" si="1"/>
        <v>0</v>
      </c>
      <c r="S37" s="364">
        <f t="shared" si="2"/>
        <v>0</v>
      </c>
      <c r="T37" s="364">
        <f t="shared" si="3"/>
        <v>0</v>
      </c>
      <c r="U37" s="366">
        <f>L37</f>
        <v>0</v>
      </c>
      <c r="V37" s="366">
        <f t="shared" si="22"/>
        <v>0</v>
      </c>
      <c r="W37" s="366">
        <f t="shared" si="23"/>
        <v>0</v>
      </c>
      <c r="X37" s="364"/>
      <c r="Y37" s="365"/>
      <c r="Z37" s="365"/>
      <c r="AA37" s="368">
        <f t="shared" si="4"/>
        <v>0</v>
      </c>
      <c r="AB37" s="368">
        <f t="shared" si="5"/>
        <v>0</v>
      </c>
      <c r="AC37" s="368">
        <f t="shared" si="25"/>
        <v>0</v>
      </c>
      <c r="AD37" s="368">
        <f t="shared" si="6"/>
        <v>0</v>
      </c>
      <c r="AE37" s="369">
        <f t="shared" si="26"/>
        <v>0</v>
      </c>
      <c r="AF37" s="368">
        <f t="shared" si="27"/>
        <v>0</v>
      </c>
      <c r="AG37" s="369">
        <f t="shared" si="28"/>
        <v>0</v>
      </c>
      <c r="AH37" s="368">
        <f t="shared" si="7"/>
        <v>0</v>
      </c>
      <c r="AI37" s="370">
        <f>IF((D37&lt;&gt;""),VLOOKUP(D37,Data!$E$36:$H$53,4),)</f>
        <v>0</v>
      </c>
      <c r="AJ37" s="370">
        <f t="shared" si="8"/>
        <v>0</v>
      </c>
      <c r="AK37" s="371">
        <f t="shared" si="9"/>
        <v>0</v>
      </c>
      <c r="AL37" s="371">
        <f t="shared" si="10"/>
        <v>0</v>
      </c>
      <c r="AM37" s="372">
        <f t="shared" si="11"/>
        <v>0</v>
      </c>
      <c r="AN37" s="370">
        <f t="shared" si="12"/>
        <v>0</v>
      </c>
      <c r="AO37" s="373">
        <f t="shared" si="13"/>
        <v>0</v>
      </c>
      <c r="AP37" s="373">
        <f t="shared" si="14"/>
        <v>0</v>
      </c>
      <c r="AQ37" s="373">
        <f t="shared" si="15"/>
        <v>0</v>
      </c>
      <c r="AR37" s="373">
        <f t="shared" si="16"/>
        <v>0</v>
      </c>
      <c r="AS37" s="371">
        <f t="shared" si="17"/>
        <v>0</v>
      </c>
      <c r="AT37" s="371">
        <f t="shared" si="18"/>
        <v>0</v>
      </c>
      <c r="AU37" s="366">
        <f>IF(Data!$H$8="x",AV37,AW37)</f>
        <v>6.6499999999999968</v>
      </c>
      <c r="AV37" s="366">
        <f t="shared" si="19"/>
        <v>3.3249999999999984</v>
      </c>
      <c r="AW37" s="366">
        <f>AW36</f>
        <v>6.6499999999999968</v>
      </c>
      <c r="AX37" s="362" t="str">
        <f t="shared" si="20"/>
        <v>Zo</v>
      </c>
      <c r="AY37" s="371">
        <f>IF((R40="O5")*AND(R41&lt;&gt;""),VLOOKUP(R41,Barema!$AC$39:$AD$65,2),)</f>
        <v>0</v>
      </c>
      <c r="AZ37" s="371" t="s">
        <v>25</v>
      </c>
      <c r="BA37" s="439"/>
    </row>
    <row r="38" spans="1:54" x14ac:dyDescent="0.2">
      <c r="AB38" s="123">
        <f t="shared" ref="AB38:AI38" si="29">SUM(AA7:AA37)</f>
        <v>0</v>
      </c>
      <c r="AC38" s="123">
        <f t="shared" si="29"/>
        <v>0</v>
      </c>
      <c r="AD38" s="123">
        <f t="shared" si="29"/>
        <v>0</v>
      </c>
      <c r="AE38" s="123">
        <f t="shared" si="29"/>
        <v>0</v>
      </c>
      <c r="AF38" s="123">
        <f t="shared" si="29"/>
        <v>0</v>
      </c>
      <c r="AG38" s="123">
        <f t="shared" si="29"/>
        <v>0</v>
      </c>
      <c r="AH38" s="123">
        <f t="shared" si="29"/>
        <v>0</v>
      </c>
      <c r="AI38" s="123">
        <f t="shared" si="29"/>
        <v>0</v>
      </c>
      <c r="AK38" s="123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IF((R40="O5ir")*AND(R41&lt;&gt;""),VLOOKUP(R41,Barema!$BA$39:$BB$65,2),)</f>
        <v>0</v>
      </c>
      <c r="AZ38" s="4" t="s">
        <v>33</v>
      </c>
      <c r="BB38" s="4"/>
    </row>
    <row r="39" spans="1:54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30">IF((MINUTE(AB38)&gt;=30),(AB38+0.041666667),AB38)</f>
        <v>0</v>
      </c>
      <c r="AC39" s="123">
        <f t="shared" si="30"/>
        <v>0</v>
      </c>
      <c r="AD39" s="123">
        <f t="shared" si="30"/>
        <v>0</v>
      </c>
      <c r="AE39" s="123">
        <f t="shared" si="30"/>
        <v>0</v>
      </c>
      <c r="AF39" s="123">
        <f t="shared" si="30"/>
        <v>0</v>
      </c>
      <c r="AG39" s="123">
        <f t="shared" si="30"/>
        <v>0</v>
      </c>
      <c r="AH39" s="123">
        <f t="shared" si="30"/>
        <v>0</v>
      </c>
      <c r="AI39" s="123">
        <f t="shared" si="30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IF((R40="O6")*AND(R41&lt;&gt;""),VLOOKUP(R41,Barema!$AF$39:$AG$65,2),)</f>
        <v>0</v>
      </c>
      <c r="AZ39" s="4" t="s">
        <v>26</v>
      </c>
      <c r="BB39" s="4"/>
    </row>
    <row r="40" spans="1:54" x14ac:dyDescent="0.2">
      <c r="C40" s="42" t="s">
        <v>207</v>
      </c>
      <c r="D40" s="43"/>
      <c r="E40" s="43"/>
      <c r="F40" s="43"/>
      <c r="G40" s="44"/>
      <c r="H40" s="28">
        <f>Apr!$H$44</f>
        <v>36</v>
      </c>
      <c r="J40" s="9" t="s">
        <v>381</v>
      </c>
      <c r="K40" s="10"/>
      <c r="L40" s="11"/>
      <c r="M40" s="10"/>
      <c r="N40" s="10"/>
      <c r="O40" s="10"/>
      <c r="P40" s="11"/>
      <c r="Q40" s="11"/>
      <c r="R40" s="441" t="s">
        <v>16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1">IF(MINUTE(AB39)&gt;0,FLOOR(AB39,0.041666667),AB39)</f>
        <v>0</v>
      </c>
      <c r="AC40" s="123">
        <f t="shared" si="31"/>
        <v>0</v>
      </c>
      <c r="AD40" s="123">
        <f t="shared" si="31"/>
        <v>0</v>
      </c>
      <c r="AE40" s="123">
        <f t="shared" si="31"/>
        <v>0</v>
      </c>
      <c r="AF40" s="123">
        <f t="shared" si="31"/>
        <v>0</v>
      </c>
      <c r="AG40" s="123">
        <f t="shared" si="31"/>
        <v>0</v>
      </c>
      <c r="AH40" s="123">
        <f t="shared" si="31"/>
        <v>0</v>
      </c>
      <c r="AI40" s="123">
        <f t="shared" si="31"/>
        <v>0</v>
      </c>
      <c r="AK40" s="140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IF((R40="O6ir")*AND(R41&lt;&gt;""),VLOOKUP(R41,Barema!$BD$39:$BE$65,2),)</f>
        <v>0</v>
      </c>
      <c r="AZ40" s="4" t="s">
        <v>34</v>
      </c>
      <c r="BB40" s="4"/>
    </row>
    <row r="41" spans="1:54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664</v>
      </c>
      <c r="K41" s="13"/>
      <c r="L41" s="14"/>
      <c r="M41" s="13"/>
      <c r="N41" s="13"/>
      <c r="O41" s="13"/>
      <c r="P41" s="14"/>
      <c r="Q41" s="14"/>
      <c r="R41" s="443">
        <v>30</v>
      </c>
      <c r="S41" s="444"/>
      <c r="T41" s="328">
        <f>AY55</f>
        <v>35116</v>
      </c>
      <c r="U41" s="330"/>
      <c r="V41" s="331"/>
      <c r="W41" s="318"/>
      <c r="X41" s="318"/>
      <c r="Z41" s="1"/>
      <c r="AA41" s="1"/>
      <c r="AF41" s="88"/>
      <c r="AG41" s="18"/>
      <c r="AH41" s="10" t="s">
        <v>217</v>
      </c>
      <c r="AI41" s="10"/>
      <c r="AJ41" s="89"/>
      <c r="AK41" s="10" t="s">
        <v>219</v>
      </c>
      <c r="AL41" s="10"/>
      <c r="AM41" s="89"/>
      <c r="AP41" s="4"/>
      <c r="AQ41" s="4"/>
      <c r="AR41" s="4"/>
      <c r="AS41" s="4"/>
      <c r="AT41" s="4"/>
      <c r="AU41" s="4"/>
      <c r="AY41" s="4">
        <f>IF((R40="O7")*AND(R41&lt;&gt;""),VLOOKUP(R41,Barema!$AI$39:$AJ$65,2),)</f>
        <v>0</v>
      </c>
      <c r="AZ41" s="4" t="s">
        <v>27</v>
      </c>
      <c r="BB41" s="2"/>
    </row>
    <row r="42" spans="1:54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1"/>
      <c r="R42" s="19"/>
      <c r="S42" s="4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32"/>
      <c r="AG42" s="4"/>
      <c r="AH42" s="4">
        <f>X41*1.2434/1850</f>
        <v>0</v>
      </c>
      <c r="AI42" s="4"/>
      <c r="AJ42" s="33"/>
      <c r="AK42" s="4">
        <f>T41*AA40/1850</f>
        <v>40.284695567567567</v>
      </c>
      <c r="AL42" s="4" t="s">
        <v>218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54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L43" s="2"/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E43" s="4" t="e">
        <f>M45*78</f>
        <v>#VALUE!</v>
      </c>
      <c r="AF43" s="32"/>
      <c r="AG43" s="62" t="s">
        <v>122</v>
      </c>
      <c r="AH43" s="4">
        <f>AH42*0.9645*AK49/100*1.45</f>
        <v>0</v>
      </c>
      <c r="AI43" s="4"/>
      <c r="AJ43" s="33"/>
      <c r="AK43" s="131">
        <f>(AK42*0.9645)*AK49/100</f>
        <v>18.067383826837297</v>
      </c>
      <c r="AL43" s="17" t="s">
        <v>223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IF((R40="HAU4")*AND(R41&lt;&gt;""),VLOOKUP(R41,Barema!$BJ$39:$BK$65,2),)</f>
        <v>0</v>
      </c>
      <c r="AZ43" s="17" t="s">
        <v>705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228</v>
      </c>
      <c r="L44" s="2"/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53.5</v>
      </c>
      <c r="Z44" s="138"/>
      <c r="AB44" s="4">
        <f>COUNTIF(AK7:AK37,"2")</f>
        <v>0</v>
      </c>
      <c r="AE44" s="4" t="e">
        <f>M46*23</f>
        <v>#VALUE!</v>
      </c>
      <c r="AF44" s="38"/>
      <c r="AG44" s="17" t="s">
        <v>225</v>
      </c>
      <c r="AH44" s="17">
        <f>(W41*1.2434/1850)*0.009645*AK49</f>
        <v>0</v>
      </c>
      <c r="AI44" s="17"/>
      <c r="AJ44" s="40"/>
      <c r="AK44" s="4">
        <v>1.24</v>
      </c>
      <c r="AL44" s="4" t="s">
        <v>226</v>
      </c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54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4"/>
      <c r="O45" s="4"/>
      <c r="P45" s="1"/>
      <c r="Q45" s="1"/>
      <c r="R45" s="19"/>
      <c r="S45" s="4"/>
      <c r="T45" s="54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Y45" s="17">
        <f>IF((R40="BAGP2")*AND(R41&lt;&gt;""),VLOOKUP(R41,Barema!$T$5:$U$31,2),)</f>
        <v>0</v>
      </c>
      <c r="AZ45" s="4" t="s">
        <v>711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9"/>
      <c r="S46" s="4"/>
      <c r="T46" s="54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 t="s">
        <v>348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162</v>
      </c>
      <c r="AY46" s="17">
        <f>IF((R40="BAGP3")*AND(R41&lt;&gt;""),VLOOKUP(R41,Barema!$W$5:$X$31,2),)</f>
        <v>0</v>
      </c>
      <c r="AZ46" s="4" t="s">
        <v>712</v>
      </c>
      <c r="BB46" s="2"/>
    </row>
    <row r="47" spans="1:54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K47" s="1"/>
      <c r="L47" s="104"/>
      <c r="M47" s="4" t="str">
        <f>IF(Jan!AH49=2,COUNTIF(S7:S37,"1"),"")</f>
        <v/>
      </c>
      <c r="N47" s="105"/>
      <c r="O47" s="4"/>
      <c r="P47" s="4"/>
      <c r="Q47" s="4"/>
      <c r="R47" s="19"/>
      <c r="S47" s="4"/>
      <c r="T47" s="80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233</v>
      </c>
      <c r="AY47" s="17">
        <f>IF((R40="BAGP4")*AND(R41&lt;&gt;""),VLOOKUP(R41,Barema!$BJ$39:$BK$65,2),)</f>
        <v>0</v>
      </c>
      <c r="AZ47" s="4" t="s">
        <v>713</v>
      </c>
      <c r="BB47" s="2"/>
    </row>
    <row r="48" spans="1:54" x14ac:dyDescent="0.2">
      <c r="C48" s="24" t="s">
        <v>234</v>
      </c>
      <c r="G48" s="92"/>
      <c r="H48" s="92" t="s">
        <v>109</v>
      </c>
      <c r="J48" s="15" t="str">
        <f>IF(Jan!AH49=2,"Morgenmaal","")</f>
        <v/>
      </c>
      <c r="K48" s="1"/>
      <c r="L48" s="104"/>
      <c r="M48" s="4" t="str">
        <f>IF(Jan!AH49=2,COUNTIF(T7:T37,"1"),"")</f>
        <v/>
      </c>
      <c r="N48" s="105"/>
      <c r="O48" s="4"/>
      <c r="P48" s="4"/>
      <c r="Q48" s="4"/>
      <c r="R48" s="19"/>
      <c r="S48" s="4"/>
      <c r="T48" s="80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VLOOKUP(AS48,Data!$F$80:$H$91,3)</f>
        <v>53.5</v>
      </c>
      <c r="AL48" s="4" t="s">
        <v>235</v>
      </c>
      <c r="AP48" s="256">
        <f>T41*Z40</f>
        <v>74526.686799999996</v>
      </c>
      <c r="AQ48" s="2">
        <f>AP48*0.075</f>
        <v>5589.5015099999991</v>
      </c>
      <c r="AR48" s="2">
        <f>AP48*0.0355</f>
        <v>2645.6973813999998</v>
      </c>
      <c r="AS48" s="142">
        <f>AP48-AQ48-AR48</f>
        <v>66291.4879086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1"/>
      <c r="L49" s="4"/>
      <c r="M49" s="141">
        <f>IF(AND(O37="+",G48="x",AB47&gt;=0),AB51,0)</f>
        <v>0</v>
      </c>
      <c r="N49" s="4" t="s">
        <v>214</v>
      </c>
      <c r="O49" s="54"/>
      <c r="P49" s="1"/>
      <c r="Q49" s="1"/>
      <c r="R49" s="19"/>
      <c r="S49" s="4"/>
      <c r="T49" s="54"/>
      <c r="U49" s="325">
        <f>(M49*AK43/0.041666667)</f>
        <v>0</v>
      </c>
      <c r="V49" s="19" t="s">
        <v>215</v>
      </c>
      <c r="W49" s="106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F50" s="4"/>
      <c r="G50" s="4"/>
      <c r="J50" s="15" t="s">
        <v>240</v>
      </c>
      <c r="K50" s="1"/>
      <c r="L50" s="4"/>
      <c r="M50" s="118">
        <f>AM38</f>
        <v>0</v>
      </c>
      <c r="N50" s="4" t="s">
        <v>241</v>
      </c>
      <c r="O50" s="80"/>
      <c r="P50" s="1"/>
      <c r="Q50" s="1"/>
      <c r="R50" s="19"/>
      <c r="S50" s="4"/>
      <c r="T50" s="80"/>
      <c r="U50" s="325">
        <f>AM39</f>
        <v>0</v>
      </c>
      <c r="V50" s="19" t="s">
        <v>215</v>
      </c>
      <c r="W50" s="106"/>
      <c r="X50" s="1"/>
      <c r="AB50" s="4"/>
      <c r="AG50" s="4"/>
      <c r="AH50" s="4"/>
      <c r="AI50" s="4"/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F51" s="4"/>
      <c r="G51" s="133">
        <v>0</v>
      </c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F51" s="4"/>
      <c r="AG51" s="4" t="s">
        <v>153</v>
      </c>
      <c r="AH51" s="4">
        <f>AH42*0.00325*0.9645*AK49</f>
        <v>0</v>
      </c>
      <c r="AI51" s="4"/>
      <c r="AK51" s="62">
        <f>AK43/100*20</f>
        <v>3.6134767653674595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AK43/100*35</f>
        <v>6.3235843393930535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F54" s="4"/>
      <c r="G54" s="4"/>
      <c r="H54" s="4"/>
      <c r="J54" s="16" t="s">
        <v>250</v>
      </c>
      <c r="K54" s="17"/>
      <c r="L54" s="64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199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0.75280765945155403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F55" s="4"/>
      <c r="G55" s="121">
        <v>0</v>
      </c>
      <c r="H55" s="4"/>
      <c r="L55" s="70" t="s">
        <v>130</v>
      </c>
      <c r="M55" s="70"/>
      <c r="N55" s="16"/>
      <c r="O55" s="71"/>
      <c r="P55" s="64"/>
      <c r="Q55" s="64"/>
      <c r="R55" s="20"/>
      <c r="S55" s="17"/>
      <c r="T55" s="72"/>
      <c r="U55" s="326">
        <f>SUM(U42:U54)</f>
        <v>0</v>
      </c>
      <c r="V55" s="20" t="s">
        <v>215</v>
      </c>
      <c r="W55" s="106"/>
      <c r="X55" s="1"/>
      <c r="AE55" s="200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1.2044922551224864</v>
      </c>
      <c r="AL55" s="17" t="s">
        <v>251</v>
      </c>
      <c r="AM55" s="17"/>
      <c r="AN55" s="17"/>
      <c r="AO55" s="17"/>
      <c r="AP55" s="83"/>
      <c r="AY55" s="4">
        <f>SUM(AY7:AY53)</f>
        <v>35116</v>
      </c>
      <c r="BB55" s="2"/>
    </row>
    <row r="56" spans="3:54" x14ac:dyDescent="0.2">
      <c r="C56" s="166" t="s">
        <v>243</v>
      </c>
      <c r="E56" s="4"/>
      <c r="F56" s="1"/>
      <c r="G56" s="4"/>
      <c r="H56" s="4"/>
      <c r="W56" s="106"/>
      <c r="X56" s="1"/>
      <c r="BB56" s="2"/>
    </row>
    <row r="61" spans="3:54" x14ac:dyDescent="0.2">
      <c r="J61" s="4"/>
      <c r="K61" s="4"/>
      <c r="L61" s="70"/>
      <c r="M61" s="70"/>
      <c r="N61" s="4"/>
      <c r="R61" s="4"/>
      <c r="S61" s="1"/>
      <c r="T61" s="1"/>
      <c r="U61" s="4"/>
      <c r="V61" s="4"/>
    </row>
    <row r="62" spans="3:54" x14ac:dyDescent="0.2">
      <c r="E62" s="4"/>
      <c r="F62" s="1"/>
      <c r="G62" s="4"/>
      <c r="H62" s="4"/>
      <c r="I62" s="4"/>
      <c r="J62" s="4"/>
      <c r="K62" s="4"/>
      <c r="L62" s="70"/>
      <c r="M62" s="70"/>
      <c r="N62" s="4"/>
      <c r="R62" s="4"/>
      <c r="S62" s="1"/>
      <c r="T62" s="1"/>
      <c r="U62" s="4"/>
      <c r="V62" s="4"/>
      <c r="W62" s="54"/>
      <c r="X62" s="2"/>
    </row>
    <row r="63" spans="3:54" x14ac:dyDescent="0.2">
      <c r="E63" s="4"/>
      <c r="F63" s="1"/>
      <c r="G63" s="4"/>
      <c r="H63" s="4"/>
      <c r="I63" s="4"/>
      <c r="W63" s="62"/>
      <c r="X63" s="4"/>
    </row>
  </sheetData>
  <sheetProtection algorithmName="SHA-512" hashValue="rfuP/MPgmD2YYSfLv+B4ktBpgOATqZnbQ3HEza46c69Ati1tP4+pir0YRfPQcBNGFvdkONHGFfCINQN/bsKMCw==" saltValue="1dWFMopss8GoVpz8JWpm5Q==" spinCount="100000" sheet="1" objects="1" scenarios="1"/>
  <mergeCells count="2">
    <mergeCell ref="R40:S40"/>
    <mergeCell ref="R41:S41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68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8">
    <pageSetUpPr fitToPage="1"/>
  </sheetPr>
  <dimension ref="A1:XFC61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42578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7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7.85546875" style="2" hidden="1" customWidth="1"/>
    <col min="52" max="52" width="6.42578125" style="4" hidden="1" customWidth="1"/>
    <col min="53" max="53" width="34.28515625" style="4" customWidth="1"/>
    <col min="54" max="54" width="52" hidden="1" customWidth="1"/>
    <col min="55" max="16383" width="9.140625" hidden="1"/>
    <col min="16384" max="16384" width="0.42578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K4" s="4"/>
      <c r="L4" s="4"/>
      <c r="M4" s="259">
        <f>Mei!$G$55</f>
        <v>0</v>
      </c>
      <c r="P4" s="4" t="s">
        <v>111</v>
      </c>
      <c r="Q4" s="4"/>
      <c r="R4" s="4"/>
      <c r="S4" s="4"/>
      <c r="T4" s="4"/>
      <c r="U4" s="122">
        <f>IF(Mei!$H$48="x",Mei!$U$4,Mei!$G$51)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3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5" t="s">
        <v>44</v>
      </c>
      <c r="G6" s="355" t="s">
        <v>139</v>
      </c>
      <c r="H6" s="355" t="s">
        <v>44</v>
      </c>
      <c r="I6" s="355" t="s">
        <v>139</v>
      </c>
      <c r="J6" s="355" t="s">
        <v>44</v>
      </c>
      <c r="K6" s="355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5" t="s">
        <v>142</v>
      </c>
      <c r="R6" s="355" t="s">
        <v>143</v>
      </c>
      <c r="S6" s="355" t="s">
        <v>144</v>
      </c>
      <c r="T6" s="355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8" customFormat="1" x14ac:dyDescent="0.2">
      <c r="A7" s="309"/>
      <c r="B7" s="6" t="s">
        <v>175</v>
      </c>
      <c r="C7" s="415" t="s">
        <v>382</v>
      </c>
      <c r="D7" s="414"/>
      <c r="E7" s="414"/>
      <c r="F7" s="274"/>
      <c r="G7" s="274"/>
      <c r="H7" s="310"/>
      <c r="I7" s="310"/>
      <c r="J7" s="336"/>
      <c r="K7" s="336"/>
      <c r="L7" s="313">
        <f>(G7-F7)+(I7-H7)+(K7-J7)+AI7+AN7</f>
        <v>0</v>
      </c>
      <c r="M7" s="338">
        <f>IF(Mei!H48="x",L7+Mei!M37+M4,L7+M4)</f>
        <v>1.2666666666666666</v>
      </c>
      <c r="N7" s="338">
        <f>IF(Mei!$H$48="x",AU7+Mei!$N$37,AU7)</f>
        <v>6.9666666666666632</v>
      </c>
      <c r="O7" s="337" t="str">
        <f>IF((M7-N7-U$4)&lt;0,"-","+")</f>
        <v>-</v>
      </c>
      <c r="P7" s="339">
        <f>ABS(M7-N7-U$4)</f>
        <v>5.6999999999999966</v>
      </c>
      <c r="Q7" s="312">
        <f t="shared" ref="Q7:Q36" si="0">AP7</f>
        <v>0</v>
      </c>
      <c r="R7" s="312">
        <f t="shared" ref="R7:R36" si="1">AQ7</f>
        <v>0</v>
      </c>
      <c r="S7" s="312">
        <f t="shared" ref="S7:S36" si="2">AR7</f>
        <v>0</v>
      </c>
      <c r="T7" s="312">
        <f t="shared" ref="T7:T36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6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6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6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5">
        <f t="shared" ref="AH7:AH36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6" si="8">IF(U7&gt;0,L7,0)</f>
        <v>0</v>
      </c>
      <c r="AK7" s="4">
        <f t="shared" ref="AK7:AK36" si="9">IF(L7&gt;0,D7,0)</f>
        <v>0</v>
      </c>
      <c r="AL7" s="4">
        <f t="shared" ref="AL7:AL36" si="10">IF((E7="X")*OR(E7="x"),1,0)</f>
        <v>0</v>
      </c>
      <c r="AM7" s="1">
        <f t="shared" ref="AM7:AM36" si="11">IF(D7="F",1,)+IF((D7="VB")*AND(((G7-F7)+(I7-H7)+(K7-J7))&gt;0),1,0)</f>
        <v>0</v>
      </c>
      <c r="AN7" s="123">
        <f t="shared" ref="AN7:AN36" si="12">IF((D7="VB")*AND(((G7-F7)+(I7-H7)+(K7-J7))=0),"07:36",0)</f>
        <v>0</v>
      </c>
      <c r="AO7" s="317">
        <f t="shared" ref="AO7:AO36" si="13">IF((F7&lt;=$AQ$2)*AND(G7&gt;=$AQ$3),1,)+IF((H7&lt;=$AQ$2)*AND(I7&gt;=$AQ$3),1,)+IF((J7&lt;=$AQ$2)*AND(K7&gt;=$AQ$3),1,)</f>
        <v>0</v>
      </c>
      <c r="AP7" s="317">
        <f t="shared" ref="AP7:AP36" si="14">IF((F7&lt;=$AR$2)*AND(G7&gt;=$AR$3),1,)+IF((H7&lt;=$AR$2)*AND(I7&gt;=$AR$3),1,)+IF((J7&lt;=$AR$2)*AND(K7&gt;=$AR$3),1,)</f>
        <v>0</v>
      </c>
      <c r="AQ7" s="317">
        <f t="shared" ref="AQ7:AQ36" si="15">IF((F7&lt;=$AS$2)*AND(G7&gt;=$AS$3),1,)+IF((H7&lt;=$AS$2)*AND(I7&gt;=$AS$3),1,)+IF((J7&lt;=$AS$2)*AND(K7&gt;=$AS$3),1,)</f>
        <v>0</v>
      </c>
      <c r="AR7" s="317">
        <f t="shared" ref="AR7:AR36" si="16">IF((F7=$AT$2)*AND(G7&gt;=$AT$3),1,)+IF((H7=$AT$2)*AND(I7&gt;=$AT$3),1,)+IF((J7=$AT$2)*AND(K7&gt;=$AT$3),1,)</f>
        <v>0</v>
      </c>
      <c r="AS7" s="4">
        <f t="shared" ref="AS7:AS36" si="17">IF((E7="MO")*OR(E7="mo"),1,0)</f>
        <v>0</v>
      </c>
      <c r="AT7" s="4">
        <f t="shared" ref="AT7:AT36" si="18">IF((E7="M")*OR(E7="m"),1,0)</f>
        <v>0</v>
      </c>
      <c r="AU7" s="313">
        <f>IF(Data!$H$8="x",AV7,AW7)</f>
        <v>0.31666666666666665</v>
      </c>
      <c r="AV7" s="313">
        <f t="shared" ref="AV7:AV36" si="19">AW7/2</f>
        <v>0.15833333333333333</v>
      </c>
      <c r="AW7" s="313">
        <f>IF(D7="V",AX4,(AX4+"07:36"))</f>
        <v>0.31666666666666665</v>
      </c>
      <c r="AX7" s="6" t="str">
        <f t="shared" ref="AX7:AX36" si="20">B7</f>
        <v>Ma</v>
      </c>
      <c r="AY7" s="4">
        <f>IF((R39="HAU1")*AND(R40&lt;&gt;""),VLOOKUP(R40,Barema!$Q$5:$R$31,2),)</f>
        <v>0</v>
      </c>
      <c r="AZ7" s="4" t="s">
        <v>0</v>
      </c>
      <c r="BA7" s="102"/>
    </row>
    <row r="8" spans="1:54" s="378" customFormat="1" x14ac:dyDescent="0.2">
      <c r="A8" s="309"/>
      <c r="B8" s="6" t="s">
        <v>177</v>
      </c>
      <c r="C8" s="311" t="s">
        <v>383</v>
      </c>
      <c r="D8" s="312"/>
      <c r="E8" s="312"/>
      <c r="F8" s="274"/>
      <c r="G8" s="274"/>
      <c r="H8" s="310"/>
      <c r="I8" s="310"/>
      <c r="J8" s="336"/>
      <c r="K8" s="336"/>
      <c r="L8" s="313">
        <f>(G8-F8)+(I8-H8)+(K8-J8)+AI8+AN8</f>
        <v>0</v>
      </c>
      <c r="M8" s="313">
        <f>M7+L8</f>
        <v>1.2666666666666666</v>
      </c>
      <c r="N8" s="338">
        <f>IF(Mei!$H$48="x",AU8+Mei!$N$37,AU8)</f>
        <v>7.2833333333333297</v>
      </c>
      <c r="O8" s="337" t="str">
        <f t="shared" ref="O8:O36" si="21">IF((M8-N8-U$4)&lt;0,"-","+")</f>
        <v>-</v>
      </c>
      <c r="P8" s="339">
        <f t="shared" ref="P8:P36" si="22">ABS(M8-N8-U$4)</f>
        <v>6.0166666666666631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6" si="23">AE8</f>
        <v>0</v>
      </c>
      <c r="W8" s="313">
        <f t="shared" ref="W8:W36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Di</v>
      </c>
      <c r="AY8" s="4">
        <f>IF((R39="HAU2")*AND(R40&lt;&gt;""),VLOOKUP(R40,Barema!$T$5:$U$31,2),)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179</v>
      </c>
      <c r="C9" s="311" t="s">
        <v>384</v>
      </c>
      <c r="D9" s="312"/>
      <c r="E9" s="312"/>
      <c r="F9" s="274"/>
      <c r="G9" s="274"/>
      <c r="H9" s="310"/>
      <c r="I9" s="310"/>
      <c r="J9" s="336"/>
      <c r="K9" s="336"/>
      <c r="L9" s="313">
        <f>(G9-F9)+(I9-H9)+(K9-J9)+AI9+AN9</f>
        <v>0</v>
      </c>
      <c r="M9" s="313">
        <f>M8+L9</f>
        <v>1.2666666666666666</v>
      </c>
      <c r="N9" s="338">
        <f>IF(Mei!$H$48="x",AU9+Mei!$N$37,AU9)</f>
        <v>7.599999999999997</v>
      </c>
      <c r="O9" s="337" t="str">
        <f t="shared" si="21"/>
        <v>-</v>
      </c>
      <c r="P9" s="339">
        <f t="shared" si="22"/>
        <v>6.3333333333333304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6" si="25">AA9+AB9</f>
        <v>0</v>
      </c>
      <c r="AD9" s="315">
        <f t="shared" si="6"/>
        <v>0</v>
      </c>
      <c r="AE9" s="316">
        <f t="shared" ref="AE9:AE36" si="26">AA9-AD9</f>
        <v>0</v>
      </c>
      <c r="AF9" s="315">
        <f t="shared" ref="AF9:AF36" si="27">AH9+AD9</f>
        <v>0</v>
      </c>
      <c r="AG9" s="316">
        <f t="shared" ref="AG9:AG36" si="28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0.95</v>
      </c>
      <c r="AV9" s="313">
        <f t="shared" si="19"/>
        <v>0.47499999999999998</v>
      </c>
      <c r="AW9" s="313">
        <f>IF(D9="V",AW8,(AW8+"07:36"))</f>
        <v>0.95</v>
      </c>
      <c r="AX9" s="6" t="str">
        <f t="shared" si="20"/>
        <v>Wo</v>
      </c>
      <c r="AY9" s="4">
        <f>IF((R39="HAU3")*AND(R40&lt;&gt;""),VLOOKUP(R40,Barema!$W$5:$X$31,2),)</f>
        <v>0</v>
      </c>
      <c r="AZ9" s="4" t="s">
        <v>2</v>
      </c>
      <c r="BA9" s="102"/>
    </row>
    <row r="10" spans="1:54" s="378" customFormat="1" x14ac:dyDescent="0.2">
      <c r="A10" s="309"/>
      <c r="B10" s="6" t="s">
        <v>167</v>
      </c>
      <c r="C10" s="311" t="s">
        <v>385</v>
      </c>
      <c r="D10" s="312"/>
      <c r="E10" s="312"/>
      <c r="F10" s="274"/>
      <c r="G10" s="274"/>
      <c r="H10" s="310"/>
      <c r="I10" s="310"/>
      <c r="J10" s="336"/>
      <c r="K10" s="336"/>
      <c r="L10" s="313">
        <f>(G10-F10)+(I10-H10)+(K10-J10)+AI10+AN10</f>
        <v>0</v>
      </c>
      <c r="M10" s="313">
        <f>M9+L10</f>
        <v>1.2666666666666666</v>
      </c>
      <c r="N10" s="338">
        <f>IF(Mei!$H$48="x",AU10+Mei!$N$37,AU10)</f>
        <v>7.9166666666666634</v>
      </c>
      <c r="O10" s="337" t="str">
        <f t="shared" si="21"/>
        <v>-</v>
      </c>
      <c r="P10" s="339">
        <f t="shared" si="22"/>
        <v>6.6499999999999968</v>
      </c>
      <c r="Q10" s="312">
        <f t="shared" si="0"/>
        <v>0</v>
      </c>
      <c r="R10" s="312">
        <f t="shared" si="1"/>
        <v>0</v>
      </c>
      <c r="S10" s="312">
        <f t="shared" si="2"/>
        <v>0</v>
      </c>
      <c r="T10" s="312">
        <f t="shared" si="3"/>
        <v>0</v>
      </c>
      <c r="U10" s="313">
        <f>IF(D10="F",L10,0)</f>
        <v>0</v>
      </c>
      <c r="V10" s="313">
        <f t="shared" si="23"/>
        <v>0</v>
      </c>
      <c r="W10" s="313">
        <f t="shared" si="24"/>
        <v>0</v>
      </c>
      <c r="X10" s="312"/>
      <c r="Y10" s="310"/>
      <c r="Z10" s="310"/>
      <c r="AA10" s="315">
        <f t="shared" si="4"/>
        <v>0</v>
      </c>
      <c r="AB10" s="315">
        <f t="shared" si="5"/>
        <v>0</v>
      </c>
      <c r="AC10" s="315">
        <f t="shared" si="25"/>
        <v>0</v>
      </c>
      <c r="AD10" s="315">
        <f t="shared" si="6"/>
        <v>0</v>
      </c>
      <c r="AE10" s="316">
        <f t="shared" si="26"/>
        <v>0</v>
      </c>
      <c r="AF10" s="315">
        <f t="shared" si="27"/>
        <v>0</v>
      </c>
      <c r="AG10" s="316">
        <f t="shared" si="28"/>
        <v>0</v>
      </c>
      <c r="AH10" s="315">
        <f t="shared" si="7"/>
        <v>0</v>
      </c>
      <c r="AI10" s="123">
        <f>IF((D10&lt;&gt;""),VLOOKUP(D10,Data!$E$36:$H$53,4),)</f>
        <v>0</v>
      </c>
      <c r="AJ10" s="123">
        <f t="shared" si="8"/>
        <v>0</v>
      </c>
      <c r="AK10" s="4">
        <f t="shared" si="9"/>
        <v>0</v>
      </c>
      <c r="AL10" s="4">
        <f t="shared" si="10"/>
        <v>0</v>
      </c>
      <c r="AM10" s="1">
        <f t="shared" si="11"/>
        <v>0</v>
      </c>
      <c r="AN10" s="123">
        <f t="shared" si="12"/>
        <v>0</v>
      </c>
      <c r="AO10" s="317">
        <f t="shared" si="13"/>
        <v>0</v>
      </c>
      <c r="AP10" s="317">
        <f t="shared" si="14"/>
        <v>0</v>
      </c>
      <c r="AQ10" s="317">
        <f t="shared" si="15"/>
        <v>0</v>
      </c>
      <c r="AR10" s="317">
        <f t="shared" si="16"/>
        <v>0</v>
      </c>
      <c r="AS10" s="4">
        <f t="shared" si="17"/>
        <v>0</v>
      </c>
      <c r="AT10" s="4">
        <f t="shared" si="18"/>
        <v>0</v>
      </c>
      <c r="AU10" s="313">
        <f>IF(Data!$H$8="x",AV10,AW10)</f>
        <v>1.2666666666666666</v>
      </c>
      <c r="AV10" s="313">
        <f t="shared" si="19"/>
        <v>0.6333333333333333</v>
      </c>
      <c r="AW10" s="313">
        <f>IF(D10="V",AW9,(AW9+"07:36"))</f>
        <v>1.2666666666666666</v>
      </c>
      <c r="AX10" s="6" t="str">
        <f t="shared" si="20"/>
        <v>Do</v>
      </c>
      <c r="AY10" s="4">
        <f>IF((R39="B1")*AND(R40&lt;&gt;""),VLOOKUP(R40,Barema!$Z$5:$AA$31,2),)</f>
        <v>0</v>
      </c>
      <c r="AZ10" s="4" t="s">
        <v>3</v>
      </c>
      <c r="BA10" s="102"/>
    </row>
    <row r="11" spans="1:54" s="378" customFormat="1" x14ac:dyDescent="0.2">
      <c r="A11" s="309"/>
      <c r="B11" s="6" t="s">
        <v>169</v>
      </c>
      <c r="C11" s="311" t="s">
        <v>386</v>
      </c>
      <c r="D11" s="312"/>
      <c r="E11" s="414"/>
      <c r="F11" s="274"/>
      <c r="G11" s="274"/>
      <c r="H11" s="310"/>
      <c r="I11" s="310"/>
      <c r="J11" s="336"/>
      <c r="K11" s="336"/>
      <c r="L11" s="313">
        <f>(G11-F11)+(I11-H11)+(K11-J11)+AI11+AN11</f>
        <v>0</v>
      </c>
      <c r="M11" s="313">
        <f t="shared" ref="M11:M36" si="29">M10+L11</f>
        <v>1.2666666666666666</v>
      </c>
      <c r="N11" s="338">
        <f>IF(Mei!$H$48="x",AU11+Mei!$N$37,AU11)</f>
        <v>8.2333333333333307</v>
      </c>
      <c r="O11" s="337" t="str">
        <f t="shared" si="21"/>
        <v>-</v>
      </c>
      <c r="P11" s="339">
        <f t="shared" si="22"/>
        <v>6.9666666666666641</v>
      </c>
      <c r="Q11" s="312">
        <f t="shared" si="0"/>
        <v>0</v>
      </c>
      <c r="R11" s="312">
        <f t="shared" si="1"/>
        <v>0</v>
      </c>
      <c r="S11" s="312">
        <f t="shared" si="2"/>
        <v>0</v>
      </c>
      <c r="T11" s="312">
        <f t="shared" si="3"/>
        <v>0</v>
      </c>
      <c r="U11" s="313">
        <f>IF(D11="F",L11,0)</f>
        <v>0</v>
      </c>
      <c r="V11" s="313">
        <f t="shared" si="23"/>
        <v>0</v>
      </c>
      <c r="W11" s="313">
        <f t="shared" si="24"/>
        <v>0</v>
      </c>
      <c r="X11" s="312"/>
      <c r="Y11" s="310"/>
      <c r="Z11" s="310"/>
      <c r="AA11" s="315">
        <f t="shared" si="4"/>
        <v>0</v>
      </c>
      <c r="AB11" s="315">
        <f t="shared" si="5"/>
        <v>0</v>
      </c>
      <c r="AC11" s="315">
        <f t="shared" si="25"/>
        <v>0</v>
      </c>
      <c r="AD11" s="315">
        <f t="shared" si="6"/>
        <v>0</v>
      </c>
      <c r="AE11" s="316">
        <f t="shared" si="26"/>
        <v>0</v>
      </c>
      <c r="AF11" s="315">
        <f t="shared" si="27"/>
        <v>0</v>
      </c>
      <c r="AG11" s="316">
        <f t="shared" si="28"/>
        <v>0</v>
      </c>
      <c r="AH11" s="315">
        <f t="shared" si="7"/>
        <v>0</v>
      </c>
      <c r="AI11" s="123">
        <f>IF((D11&lt;&gt;""),VLOOKUP(D11,Data!$E$36:$H$53,4),)</f>
        <v>0</v>
      </c>
      <c r="AJ11" s="123">
        <f t="shared" si="8"/>
        <v>0</v>
      </c>
      <c r="AK11" s="4">
        <f t="shared" si="9"/>
        <v>0</v>
      </c>
      <c r="AL11" s="4">
        <f t="shared" si="10"/>
        <v>0</v>
      </c>
      <c r="AM11" s="1">
        <f t="shared" si="11"/>
        <v>0</v>
      </c>
      <c r="AN11" s="123">
        <f t="shared" si="12"/>
        <v>0</v>
      </c>
      <c r="AO11" s="317">
        <f t="shared" si="13"/>
        <v>0</v>
      </c>
      <c r="AP11" s="317">
        <f t="shared" si="14"/>
        <v>0</v>
      </c>
      <c r="AQ11" s="317">
        <f t="shared" si="15"/>
        <v>0</v>
      </c>
      <c r="AR11" s="317">
        <f t="shared" si="16"/>
        <v>0</v>
      </c>
      <c r="AS11" s="4">
        <f t="shared" si="17"/>
        <v>0</v>
      </c>
      <c r="AT11" s="4">
        <f t="shared" si="18"/>
        <v>0</v>
      </c>
      <c r="AU11" s="313">
        <f>IF(Data!$H$8="x",AV11,AW11)</f>
        <v>1.5833333333333333</v>
      </c>
      <c r="AV11" s="313">
        <f t="shared" si="19"/>
        <v>0.79166666666666663</v>
      </c>
      <c r="AW11" s="313">
        <f>IF(D11="V",AW10,(AW10+"07:36"))</f>
        <v>1.5833333333333333</v>
      </c>
      <c r="AX11" s="412" t="str">
        <f t="shared" si="20"/>
        <v>Vr</v>
      </c>
      <c r="AY11" s="4">
        <f>IF((R39="B2")*AND(R40&lt;&gt;""),VLOOKUP(R40,Barema!$AC$5:$AD$31,2),)</f>
        <v>0</v>
      </c>
      <c r="AZ11" s="4" t="s">
        <v>4</v>
      </c>
      <c r="BA11" s="102"/>
    </row>
    <row r="12" spans="1:54" s="376" customFormat="1" x14ac:dyDescent="0.2">
      <c r="A12" s="374"/>
      <c r="B12" s="362" t="s">
        <v>171</v>
      </c>
      <c r="C12" s="363" t="s">
        <v>387</v>
      </c>
      <c r="D12" s="364"/>
      <c r="E12" s="364"/>
      <c r="F12" s="365"/>
      <c r="G12" s="365"/>
      <c r="H12" s="365"/>
      <c r="I12" s="365"/>
      <c r="J12" s="375"/>
      <c r="K12" s="375"/>
      <c r="L12" s="366">
        <f>(G12-F12)+(I12-H12)+(K12-J12)</f>
        <v>0</v>
      </c>
      <c r="M12" s="366">
        <f t="shared" si="29"/>
        <v>1.2666666666666666</v>
      </c>
      <c r="N12" s="382">
        <f>IF(Mei!$H$48="x",AU12+Mei!$N$37,AU12)</f>
        <v>8.2333333333333307</v>
      </c>
      <c r="O12" s="377" t="str">
        <f t="shared" si="21"/>
        <v>-</v>
      </c>
      <c r="P12" s="383">
        <f t="shared" si="22"/>
        <v>6.9666666666666641</v>
      </c>
      <c r="Q12" s="364">
        <f t="shared" si="0"/>
        <v>0</v>
      </c>
      <c r="R12" s="364">
        <f t="shared" si="1"/>
        <v>0</v>
      </c>
      <c r="S12" s="364">
        <f t="shared" si="2"/>
        <v>0</v>
      </c>
      <c r="T12" s="364">
        <f t="shared" si="3"/>
        <v>0</v>
      </c>
      <c r="U12" s="366">
        <f>L12</f>
        <v>0</v>
      </c>
      <c r="V12" s="366">
        <f t="shared" si="23"/>
        <v>0</v>
      </c>
      <c r="W12" s="366">
        <f t="shared" si="24"/>
        <v>0</v>
      </c>
      <c r="X12" s="364"/>
      <c r="Y12" s="365"/>
      <c r="Z12" s="365"/>
      <c r="AA12" s="368">
        <f t="shared" si="4"/>
        <v>0</v>
      </c>
      <c r="AB12" s="368">
        <f t="shared" si="5"/>
        <v>0</v>
      </c>
      <c r="AC12" s="368">
        <f t="shared" si="25"/>
        <v>0</v>
      </c>
      <c r="AD12" s="368">
        <f t="shared" si="6"/>
        <v>0</v>
      </c>
      <c r="AE12" s="369">
        <f t="shared" si="26"/>
        <v>0</v>
      </c>
      <c r="AF12" s="368">
        <f t="shared" si="27"/>
        <v>0</v>
      </c>
      <c r="AG12" s="369">
        <f t="shared" si="28"/>
        <v>0</v>
      </c>
      <c r="AH12" s="368">
        <f t="shared" si="7"/>
        <v>0</v>
      </c>
      <c r="AI12" s="370">
        <f>IF((D12&lt;&gt;""),VLOOKUP(D12,Data!$E$36:$H$53,4),)</f>
        <v>0</v>
      </c>
      <c r="AJ12" s="370">
        <f t="shared" si="8"/>
        <v>0</v>
      </c>
      <c r="AK12" s="371">
        <f t="shared" si="9"/>
        <v>0</v>
      </c>
      <c r="AL12" s="371">
        <f t="shared" si="10"/>
        <v>0</v>
      </c>
      <c r="AM12" s="372">
        <f t="shared" si="11"/>
        <v>0</v>
      </c>
      <c r="AN12" s="370">
        <f t="shared" si="12"/>
        <v>0</v>
      </c>
      <c r="AO12" s="373">
        <f t="shared" si="13"/>
        <v>0</v>
      </c>
      <c r="AP12" s="373">
        <f t="shared" si="14"/>
        <v>0</v>
      </c>
      <c r="AQ12" s="373">
        <f t="shared" si="15"/>
        <v>0</v>
      </c>
      <c r="AR12" s="373">
        <f t="shared" si="16"/>
        <v>0</v>
      </c>
      <c r="AS12" s="371">
        <f t="shared" si="17"/>
        <v>0</v>
      </c>
      <c r="AT12" s="371">
        <f t="shared" si="18"/>
        <v>0</v>
      </c>
      <c r="AU12" s="366">
        <f>IF(Data!$H$8="x",AV12,AW12)</f>
        <v>1.5833333333333333</v>
      </c>
      <c r="AV12" s="366">
        <f t="shared" si="19"/>
        <v>0.79166666666666663</v>
      </c>
      <c r="AW12" s="366">
        <f>AW11</f>
        <v>1.5833333333333333</v>
      </c>
      <c r="AX12" s="362" t="str">
        <f t="shared" si="20"/>
        <v>Za</v>
      </c>
      <c r="AY12" s="371">
        <f>IF((R39="B3")*AND(R40&lt;&gt;""),VLOOKUP(R40,Barema!$AF$5:$AG$31,2),)</f>
        <v>0</v>
      </c>
      <c r="AZ12" s="371" t="s">
        <v>5</v>
      </c>
      <c r="BA12" s="439"/>
    </row>
    <row r="13" spans="1:54" s="376" customFormat="1" x14ac:dyDescent="0.2">
      <c r="A13" s="374"/>
      <c r="B13" s="362" t="s">
        <v>173</v>
      </c>
      <c r="C13" s="363" t="s">
        <v>388</v>
      </c>
      <c r="D13" s="364"/>
      <c r="E13" s="403"/>
      <c r="F13" s="365"/>
      <c r="G13" s="365"/>
      <c r="H13" s="365"/>
      <c r="I13" s="365"/>
      <c r="J13" s="375"/>
      <c r="K13" s="375"/>
      <c r="L13" s="366">
        <f>(G13-F13)+(I13-H13)+(K13-J13)</f>
        <v>0</v>
      </c>
      <c r="M13" s="366">
        <f t="shared" si="29"/>
        <v>1.2666666666666666</v>
      </c>
      <c r="N13" s="382">
        <f>IF(Mei!$H$48="x",AU13+Mei!$N$37,AU13)</f>
        <v>8.2333333333333307</v>
      </c>
      <c r="O13" s="377" t="str">
        <f t="shared" si="21"/>
        <v>-</v>
      </c>
      <c r="P13" s="383">
        <f t="shared" si="22"/>
        <v>6.9666666666666641</v>
      </c>
      <c r="Q13" s="364">
        <f t="shared" si="0"/>
        <v>0</v>
      </c>
      <c r="R13" s="364">
        <f t="shared" si="1"/>
        <v>0</v>
      </c>
      <c r="S13" s="364">
        <f t="shared" si="2"/>
        <v>0</v>
      </c>
      <c r="T13" s="364">
        <f t="shared" si="3"/>
        <v>0</v>
      </c>
      <c r="U13" s="366">
        <f>L13</f>
        <v>0</v>
      </c>
      <c r="V13" s="366">
        <f t="shared" si="23"/>
        <v>0</v>
      </c>
      <c r="W13" s="366">
        <f t="shared" si="24"/>
        <v>0</v>
      </c>
      <c r="X13" s="364"/>
      <c r="Y13" s="365"/>
      <c r="Z13" s="365"/>
      <c r="AA13" s="368">
        <f t="shared" si="4"/>
        <v>0</v>
      </c>
      <c r="AB13" s="368">
        <f t="shared" si="5"/>
        <v>0</v>
      </c>
      <c r="AC13" s="368">
        <f t="shared" si="25"/>
        <v>0</v>
      </c>
      <c r="AD13" s="368">
        <f t="shared" si="6"/>
        <v>0</v>
      </c>
      <c r="AE13" s="369">
        <f t="shared" si="26"/>
        <v>0</v>
      </c>
      <c r="AF13" s="368">
        <f t="shared" si="27"/>
        <v>0</v>
      </c>
      <c r="AG13" s="369">
        <f t="shared" si="28"/>
        <v>0</v>
      </c>
      <c r="AH13" s="368">
        <f t="shared" si="7"/>
        <v>0</v>
      </c>
      <c r="AI13" s="370">
        <f>IF((D13&lt;&gt;""),VLOOKUP(D13,Data!$E$36:$H$53,4),)</f>
        <v>0</v>
      </c>
      <c r="AJ13" s="370">
        <f t="shared" si="8"/>
        <v>0</v>
      </c>
      <c r="AK13" s="371">
        <f t="shared" si="9"/>
        <v>0</v>
      </c>
      <c r="AL13" s="371">
        <f t="shared" si="10"/>
        <v>0</v>
      </c>
      <c r="AM13" s="372">
        <f t="shared" si="11"/>
        <v>0</v>
      </c>
      <c r="AN13" s="370">
        <f t="shared" si="12"/>
        <v>0</v>
      </c>
      <c r="AO13" s="373">
        <f t="shared" si="13"/>
        <v>0</v>
      </c>
      <c r="AP13" s="373">
        <f t="shared" si="14"/>
        <v>0</v>
      </c>
      <c r="AQ13" s="373">
        <f t="shared" si="15"/>
        <v>0</v>
      </c>
      <c r="AR13" s="373">
        <f t="shared" si="16"/>
        <v>0</v>
      </c>
      <c r="AS13" s="371">
        <f t="shared" si="17"/>
        <v>0</v>
      </c>
      <c r="AT13" s="371">
        <f t="shared" si="18"/>
        <v>0</v>
      </c>
      <c r="AU13" s="366">
        <f>IF(Data!$H$8="x",AV13,AW13)</f>
        <v>1.5833333333333333</v>
      </c>
      <c r="AV13" s="366">
        <f t="shared" si="19"/>
        <v>0.79166666666666663</v>
      </c>
      <c r="AW13" s="366">
        <f>AW12</f>
        <v>1.5833333333333333</v>
      </c>
      <c r="AX13" s="362" t="str">
        <f t="shared" si="20"/>
        <v>Zo</v>
      </c>
      <c r="AY13" s="371">
        <f>IF((R39="B4")*AND(R40&lt;&gt;""),VLOOKUP(R40,Barema!$AI$5:$AJ$34,2),)</f>
        <v>0</v>
      </c>
      <c r="AZ13" s="371" t="s">
        <v>6</v>
      </c>
      <c r="BA13" s="439"/>
    </row>
    <row r="14" spans="1:54" s="378" customFormat="1" x14ac:dyDescent="0.2">
      <c r="A14" s="309"/>
      <c r="B14" s="6" t="s">
        <v>175</v>
      </c>
      <c r="C14" s="311" t="s">
        <v>389</v>
      </c>
      <c r="D14" s="312"/>
      <c r="E14" s="312"/>
      <c r="F14" s="274"/>
      <c r="G14" s="274"/>
      <c r="H14" s="310"/>
      <c r="I14" s="310"/>
      <c r="J14" s="336"/>
      <c r="K14" s="336"/>
      <c r="L14" s="313">
        <f>(G14-F14)+(I14-H14)+(K14-J14)+AI14+AN14</f>
        <v>0</v>
      </c>
      <c r="M14" s="313">
        <f t="shared" si="29"/>
        <v>1.2666666666666666</v>
      </c>
      <c r="N14" s="338">
        <f>IF(Mei!$H$48="x",AU14+Mei!$N$37,AU14)</f>
        <v>8.5499999999999972</v>
      </c>
      <c r="O14" s="337" t="str">
        <f t="shared" si="21"/>
        <v>-</v>
      </c>
      <c r="P14" s="339">
        <f t="shared" si="22"/>
        <v>7.2833333333333306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5"/>
        <v>0</v>
      </c>
      <c r="AD14" s="315">
        <f t="shared" si="6"/>
        <v>0</v>
      </c>
      <c r="AE14" s="316">
        <f t="shared" si="26"/>
        <v>0</v>
      </c>
      <c r="AF14" s="315">
        <f t="shared" si="27"/>
        <v>0</v>
      </c>
      <c r="AG14" s="316">
        <f t="shared" si="28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Ma</v>
      </c>
      <c r="AY14" s="4">
        <f>IF((R39="B5")*AND(R40&lt;&gt;""),VLOOKUP(R40,Barema!$AL$5:$AM$34,2),)</f>
        <v>0</v>
      </c>
      <c r="AZ14" s="4" t="s">
        <v>7</v>
      </c>
      <c r="BA14" s="102"/>
    </row>
    <row r="15" spans="1:54" s="378" customFormat="1" x14ac:dyDescent="0.2">
      <c r="A15" s="309"/>
      <c r="B15" s="6" t="s">
        <v>177</v>
      </c>
      <c r="C15" s="311" t="s">
        <v>390</v>
      </c>
      <c r="D15" s="312"/>
      <c r="E15" s="312"/>
      <c r="F15" s="274"/>
      <c r="G15" s="274"/>
      <c r="H15" s="310"/>
      <c r="I15" s="310"/>
      <c r="J15" s="336"/>
      <c r="K15" s="336"/>
      <c r="L15" s="313">
        <f>(G15-F15)+(I15-H15)+(K15-J15)+AI15+AN15</f>
        <v>0</v>
      </c>
      <c r="M15" s="313">
        <f t="shared" si="29"/>
        <v>1.2666666666666666</v>
      </c>
      <c r="N15" s="338">
        <f>IF(Mei!$H$48="x",AU15+Mei!$N$37,AU15)</f>
        <v>8.8666666666666636</v>
      </c>
      <c r="O15" s="337" t="str">
        <f t="shared" si="21"/>
        <v>-</v>
      </c>
      <c r="P15" s="339">
        <f t="shared" si="22"/>
        <v>7.599999999999997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5"/>
        <v>0</v>
      </c>
      <c r="AD15" s="315">
        <f t="shared" si="6"/>
        <v>0</v>
      </c>
      <c r="AE15" s="316">
        <f t="shared" si="26"/>
        <v>0</v>
      </c>
      <c r="AF15" s="315">
        <f t="shared" si="27"/>
        <v>0</v>
      </c>
      <c r="AG15" s="316">
        <f t="shared" si="28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Di</v>
      </c>
      <c r="AY15" s="4">
        <f>IF((R39="M1.1")*AND(R40&lt;&gt;""),VLOOKUP(R40,Barema!$AO$5:$AP$31,2),)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179</v>
      </c>
      <c r="C16" s="311" t="s">
        <v>391</v>
      </c>
      <c r="D16" s="312"/>
      <c r="E16" s="312"/>
      <c r="F16" s="274"/>
      <c r="G16" s="274"/>
      <c r="H16" s="310"/>
      <c r="I16" s="310"/>
      <c r="J16" s="336"/>
      <c r="K16" s="336"/>
      <c r="L16" s="313">
        <f>(G16-F16)+(I16-H16)+(K16-J16)+AI16+AN16</f>
        <v>0</v>
      </c>
      <c r="M16" s="313">
        <f>M15+L16</f>
        <v>1.2666666666666666</v>
      </c>
      <c r="N16" s="338">
        <f>IF(Mei!$H$48="x",AU16+Mei!$N$37,AU16)</f>
        <v>9.18333333333333</v>
      </c>
      <c r="O16" s="337" t="str">
        <f t="shared" si="21"/>
        <v>-</v>
      </c>
      <c r="P16" s="339">
        <f t="shared" si="22"/>
        <v>7.9166666666666634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5"/>
        <v>0</v>
      </c>
      <c r="AD16" s="315">
        <f t="shared" si="6"/>
        <v>0</v>
      </c>
      <c r="AE16" s="316">
        <f t="shared" si="26"/>
        <v>0</v>
      </c>
      <c r="AF16" s="315">
        <f t="shared" si="27"/>
        <v>0</v>
      </c>
      <c r="AG16" s="316">
        <f t="shared" si="28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2.5333333333333332</v>
      </c>
      <c r="AV16" s="313">
        <f t="shared" si="19"/>
        <v>1.2666666666666666</v>
      </c>
      <c r="AW16" s="313">
        <f>IF(D16="V",AW15,(AW15+"07:36"))</f>
        <v>2.5333333333333332</v>
      </c>
      <c r="AX16" s="6" t="str">
        <f t="shared" si="20"/>
        <v>Wo</v>
      </c>
      <c r="AY16" s="4">
        <f>IF((R39="M1.2")*AND(R40&lt;&gt;""),VLOOKUP(R40,Barema!$AR$5:$AS$31,2),)</f>
        <v>0</v>
      </c>
      <c r="AZ16" s="4" t="s">
        <v>9</v>
      </c>
      <c r="BA16" s="102"/>
    </row>
    <row r="17" spans="1:53" s="378" customFormat="1" x14ac:dyDescent="0.2">
      <c r="A17" s="309"/>
      <c r="B17" s="6" t="s">
        <v>167</v>
      </c>
      <c r="C17" s="311" t="s">
        <v>392</v>
      </c>
      <c r="D17" s="312"/>
      <c r="E17" s="312"/>
      <c r="F17" s="274"/>
      <c r="G17" s="274"/>
      <c r="H17" s="310"/>
      <c r="I17" s="310"/>
      <c r="J17" s="336"/>
      <c r="K17" s="336"/>
      <c r="L17" s="313">
        <f>(G17-F17)+(I17-H17)+(K17-J17)+AI17+AN17</f>
        <v>0</v>
      </c>
      <c r="M17" s="313">
        <f>M16+L17</f>
        <v>1.2666666666666666</v>
      </c>
      <c r="N17" s="338">
        <f>IF(Mei!$H$48="x",AU17+Mei!$N$37,AU17)</f>
        <v>9.4999999999999964</v>
      </c>
      <c r="O17" s="337" t="str">
        <f t="shared" si="21"/>
        <v>-</v>
      </c>
      <c r="P17" s="339">
        <f t="shared" si="22"/>
        <v>8.2333333333333307</v>
      </c>
      <c r="Q17" s="312">
        <f t="shared" si="0"/>
        <v>0</v>
      </c>
      <c r="R17" s="312">
        <f t="shared" si="1"/>
        <v>0</v>
      </c>
      <c r="S17" s="312">
        <f t="shared" si="2"/>
        <v>0</v>
      </c>
      <c r="T17" s="312">
        <f t="shared" si="3"/>
        <v>0</v>
      </c>
      <c r="U17" s="313">
        <f>IF(D17="F",L17,0)</f>
        <v>0</v>
      </c>
      <c r="V17" s="313">
        <f t="shared" si="23"/>
        <v>0</v>
      </c>
      <c r="W17" s="313">
        <f t="shared" si="24"/>
        <v>0</v>
      </c>
      <c r="X17" s="312"/>
      <c r="Y17" s="310"/>
      <c r="Z17" s="310"/>
      <c r="AA17" s="315">
        <f t="shared" si="4"/>
        <v>0</v>
      </c>
      <c r="AB17" s="315">
        <f t="shared" si="5"/>
        <v>0</v>
      </c>
      <c r="AC17" s="315">
        <f t="shared" si="25"/>
        <v>0</v>
      </c>
      <c r="AD17" s="315">
        <f t="shared" si="6"/>
        <v>0</v>
      </c>
      <c r="AE17" s="316">
        <f t="shared" si="26"/>
        <v>0</v>
      </c>
      <c r="AF17" s="315">
        <f t="shared" si="27"/>
        <v>0</v>
      </c>
      <c r="AG17" s="316">
        <f t="shared" si="28"/>
        <v>0</v>
      </c>
      <c r="AH17" s="315">
        <f t="shared" si="7"/>
        <v>0</v>
      </c>
      <c r="AI17" s="123">
        <f>IF((D17&lt;&gt;""),VLOOKUP(D17,Data!$E$36:$H$53,4),)</f>
        <v>0</v>
      </c>
      <c r="AJ17" s="123">
        <f t="shared" si="8"/>
        <v>0</v>
      </c>
      <c r="AK17" s="4">
        <f t="shared" si="9"/>
        <v>0</v>
      </c>
      <c r="AL17" s="4">
        <f t="shared" si="10"/>
        <v>0</v>
      </c>
      <c r="AM17" s="1">
        <f t="shared" si="11"/>
        <v>0</v>
      </c>
      <c r="AN17" s="123">
        <f t="shared" si="12"/>
        <v>0</v>
      </c>
      <c r="AO17" s="317">
        <f t="shared" si="13"/>
        <v>0</v>
      </c>
      <c r="AP17" s="317">
        <f t="shared" si="14"/>
        <v>0</v>
      </c>
      <c r="AQ17" s="317">
        <f t="shared" si="15"/>
        <v>0</v>
      </c>
      <c r="AR17" s="317">
        <f t="shared" si="16"/>
        <v>0</v>
      </c>
      <c r="AS17" s="4">
        <f t="shared" si="17"/>
        <v>0</v>
      </c>
      <c r="AT17" s="4">
        <f t="shared" si="18"/>
        <v>0</v>
      </c>
      <c r="AU17" s="313">
        <f>IF(Data!$H$8="x",AV17,AW17)</f>
        <v>2.8499999999999996</v>
      </c>
      <c r="AV17" s="313">
        <f t="shared" si="19"/>
        <v>1.4249999999999998</v>
      </c>
      <c r="AW17" s="313">
        <f>IF(D17="V",AW16,(AW16+"07:36"))</f>
        <v>2.8499999999999996</v>
      </c>
      <c r="AX17" s="6" t="str">
        <f t="shared" si="20"/>
        <v>Do</v>
      </c>
      <c r="AY17" s="4">
        <f>IF((R39="M2.1")*AND(R40&lt;&gt;""),VLOOKUP(R40,Barema!$AU$5:$AV$31,2),)</f>
        <v>0</v>
      </c>
      <c r="AZ17" s="4" t="s">
        <v>10</v>
      </c>
      <c r="BA17" s="102"/>
    </row>
    <row r="18" spans="1:53" s="378" customFormat="1" x14ac:dyDescent="0.2">
      <c r="A18" s="309"/>
      <c r="B18" s="6" t="s">
        <v>169</v>
      </c>
      <c r="C18" s="311" t="s">
        <v>393</v>
      </c>
      <c r="D18" s="312"/>
      <c r="E18" s="414"/>
      <c r="F18" s="274"/>
      <c r="G18" s="274"/>
      <c r="H18" s="310"/>
      <c r="I18" s="310"/>
      <c r="J18" s="336"/>
      <c r="K18" s="336"/>
      <c r="L18" s="313">
        <f>(G18-F18)+(I18-H18)+(K18-J18)+AI18+AN18</f>
        <v>0</v>
      </c>
      <c r="M18" s="313">
        <f t="shared" si="29"/>
        <v>1.2666666666666666</v>
      </c>
      <c r="N18" s="338">
        <f>IF(Mei!$H$48="x",AU18+Mei!$N$37,AU18)</f>
        <v>9.8166666666666629</v>
      </c>
      <c r="O18" s="337" t="str">
        <f t="shared" si="21"/>
        <v>-</v>
      </c>
      <c r="P18" s="339">
        <f t="shared" si="22"/>
        <v>8.5499999999999972</v>
      </c>
      <c r="Q18" s="312">
        <f t="shared" si="0"/>
        <v>0</v>
      </c>
      <c r="R18" s="312">
        <f t="shared" si="1"/>
        <v>0</v>
      </c>
      <c r="S18" s="312">
        <f t="shared" si="2"/>
        <v>0</v>
      </c>
      <c r="T18" s="312">
        <f t="shared" si="3"/>
        <v>0</v>
      </c>
      <c r="U18" s="313">
        <f>IF(D18="F",L18,0)</f>
        <v>0</v>
      </c>
      <c r="V18" s="313">
        <f t="shared" si="23"/>
        <v>0</v>
      </c>
      <c r="W18" s="313">
        <f t="shared" si="24"/>
        <v>0</v>
      </c>
      <c r="X18" s="312"/>
      <c r="Y18" s="310"/>
      <c r="Z18" s="310"/>
      <c r="AA18" s="315">
        <f t="shared" si="4"/>
        <v>0</v>
      </c>
      <c r="AB18" s="315">
        <f t="shared" si="5"/>
        <v>0</v>
      </c>
      <c r="AC18" s="315">
        <f t="shared" si="25"/>
        <v>0</v>
      </c>
      <c r="AD18" s="315">
        <f t="shared" si="6"/>
        <v>0</v>
      </c>
      <c r="AE18" s="316">
        <f t="shared" si="26"/>
        <v>0</v>
      </c>
      <c r="AF18" s="315">
        <f t="shared" si="27"/>
        <v>0</v>
      </c>
      <c r="AG18" s="316">
        <f t="shared" si="28"/>
        <v>0</v>
      </c>
      <c r="AH18" s="315">
        <f t="shared" si="7"/>
        <v>0</v>
      </c>
      <c r="AI18" s="123">
        <f>IF((D18&lt;&gt;""),VLOOKUP(D18,Data!$E$36:$H$53,4),)</f>
        <v>0</v>
      </c>
      <c r="AJ18" s="123">
        <f t="shared" si="8"/>
        <v>0</v>
      </c>
      <c r="AK18" s="4">
        <f t="shared" si="9"/>
        <v>0</v>
      </c>
      <c r="AL18" s="4">
        <f t="shared" si="10"/>
        <v>0</v>
      </c>
      <c r="AM18" s="1">
        <f t="shared" si="11"/>
        <v>0</v>
      </c>
      <c r="AN18" s="123">
        <f t="shared" si="12"/>
        <v>0</v>
      </c>
      <c r="AO18" s="317">
        <f t="shared" si="13"/>
        <v>0</v>
      </c>
      <c r="AP18" s="317">
        <f t="shared" si="14"/>
        <v>0</v>
      </c>
      <c r="AQ18" s="317">
        <f t="shared" si="15"/>
        <v>0</v>
      </c>
      <c r="AR18" s="317">
        <f t="shared" si="16"/>
        <v>0</v>
      </c>
      <c r="AS18" s="4">
        <f t="shared" si="17"/>
        <v>0</v>
      </c>
      <c r="AT18" s="4">
        <f t="shared" si="18"/>
        <v>0</v>
      </c>
      <c r="AU18" s="313">
        <f>IF(Data!$H$8="x",AV18,AW18)</f>
        <v>3.1666666666666661</v>
      </c>
      <c r="AV18" s="313">
        <f t="shared" si="19"/>
        <v>1.583333333333333</v>
      </c>
      <c r="AW18" s="313">
        <f>IF(D18="V",AW17,(AW17+"07:36"))</f>
        <v>3.1666666666666661</v>
      </c>
      <c r="AX18" s="6" t="str">
        <f t="shared" si="20"/>
        <v>Vr</v>
      </c>
      <c r="AY18" s="4">
        <f>IF((R39="M2.2")*AND(R40&lt;&gt;""),VLOOKUP(R40,Barema!$AX$5:$AY$31,2),)</f>
        <v>0</v>
      </c>
      <c r="AZ18" s="4" t="s">
        <v>11</v>
      </c>
      <c r="BA18" s="102"/>
    </row>
    <row r="19" spans="1:53" s="376" customFormat="1" x14ac:dyDescent="0.2">
      <c r="A19" s="374"/>
      <c r="B19" s="362" t="s">
        <v>171</v>
      </c>
      <c r="C19" s="363" t="s">
        <v>394</v>
      </c>
      <c r="D19" s="364"/>
      <c r="E19" s="364"/>
      <c r="F19" s="365"/>
      <c r="G19" s="365"/>
      <c r="H19" s="365"/>
      <c r="I19" s="365"/>
      <c r="J19" s="375"/>
      <c r="K19" s="375"/>
      <c r="L19" s="366">
        <f>(G19-F19)+(I19-H19)+(K19-J19)</f>
        <v>0</v>
      </c>
      <c r="M19" s="366">
        <f t="shared" si="29"/>
        <v>1.2666666666666666</v>
      </c>
      <c r="N19" s="382">
        <f>IF(Mei!$H$48="x",AU19+Mei!$N$37,AU19)</f>
        <v>9.8166666666666629</v>
      </c>
      <c r="O19" s="377" t="str">
        <f t="shared" si="21"/>
        <v>-</v>
      </c>
      <c r="P19" s="383">
        <f t="shared" si="22"/>
        <v>8.5499999999999972</v>
      </c>
      <c r="Q19" s="364">
        <f t="shared" si="0"/>
        <v>0</v>
      </c>
      <c r="R19" s="364">
        <f t="shared" si="1"/>
        <v>0</v>
      </c>
      <c r="S19" s="364">
        <f t="shared" si="2"/>
        <v>0</v>
      </c>
      <c r="T19" s="364">
        <f t="shared" si="3"/>
        <v>0</v>
      </c>
      <c r="U19" s="366">
        <f>L19</f>
        <v>0</v>
      </c>
      <c r="V19" s="366">
        <f t="shared" si="23"/>
        <v>0</v>
      </c>
      <c r="W19" s="366">
        <f t="shared" si="24"/>
        <v>0</v>
      </c>
      <c r="X19" s="364"/>
      <c r="Y19" s="365"/>
      <c r="Z19" s="365"/>
      <c r="AA19" s="368">
        <f t="shared" si="4"/>
        <v>0</v>
      </c>
      <c r="AB19" s="368">
        <f t="shared" si="5"/>
        <v>0</v>
      </c>
      <c r="AC19" s="368">
        <f t="shared" si="25"/>
        <v>0</v>
      </c>
      <c r="AD19" s="368">
        <f t="shared" si="6"/>
        <v>0</v>
      </c>
      <c r="AE19" s="369">
        <f t="shared" si="26"/>
        <v>0</v>
      </c>
      <c r="AF19" s="368">
        <f t="shared" si="27"/>
        <v>0</v>
      </c>
      <c r="AG19" s="369">
        <f t="shared" si="28"/>
        <v>0</v>
      </c>
      <c r="AH19" s="368">
        <f t="shared" si="7"/>
        <v>0</v>
      </c>
      <c r="AI19" s="370">
        <f>IF((D19&lt;&gt;""),VLOOKUP(D19,Data!$E$36:$H$53,4),)</f>
        <v>0</v>
      </c>
      <c r="AJ19" s="370">
        <f t="shared" si="8"/>
        <v>0</v>
      </c>
      <c r="AK19" s="371">
        <f t="shared" si="9"/>
        <v>0</v>
      </c>
      <c r="AL19" s="371">
        <f t="shared" si="10"/>
        <v>0</v>
      </c>
      <c r="AM19" s="372">
        <f t="shared" si="11"/>
        <v>0</v>
      </c>
      <c r="AN19" s="370">
        <f t="shared" si="12"/>
        <v>0</v>
      </c>
      <c r="AO19" s="373">
        <f t="shared" si="13"/>
        <v>0</v>
      </c>
      <c r="AP19" s="373">
        <f t="shared" si="14"/>
        <v>0</v>
      </c>
      <c r="AQ19" s="373">
        <f t="shared" si="15"/>
        <v>0</v>
      </c>
      <c r="AR19" s="373">
        <f t="shared" si="16"/>
        <v>0</v>
      </c>
      <c r="AS19" s="371">
        <f t="shared" si="17"/>
        <v>0</v>
      </c>
      <c r="AT19" s="371">
        <f t="shared" si="18"/>
        <v>0</v>
      </c>
      <c r="AU19" s="366">
        <f>IF(Data!$H$8="x",AV19,AW19)</f>
        <v>3.1666666666666661</v>
      </c>
      <c r="AV19" s="366">
        <f t="shared" si="19"/>
        <v>1.583333333333333</v>
      </c>
      <c r="AW19" s="366">
        <f>AW18</f>
        <v>3.1666666666666661</v>
      </c>
      <c r="AX19" s="362" t="str">
        <f t="shared" si="20"/>
        <v>Za</v>
      </c>
      <c r="AY19" s="371">
        <f>IF((R39="M3.1")*AND(R40&lt;&gt;""),VLOOKUP(R40,Barema!$BA$5:$BB$31,2),)</f>
        <v>0</v>
      </c>
      <c r="AZ19" s="371" t="s">
        <v>12</v>
      </c>
      <c r="BA19" s="439"/>
    </row>
    <row r="20" spans="1:53" s="376" customFormat="1" x14ac:dyDescent="0.2">
      <c r="A20" s="374"/>
      <c r="B20" s="362" t="s">
        <v>173</v>
      </c>
      <c r="C20" s="363" t="s">
        <v>395</v>
      </c>
      <c r="D20" s="364"/>
      <c r="E20" s="403"/>
      <c r="F20" s="365"/>
      <c r="G20" s="365"/>
      <c r="H20" s="365"/>
      <c r="I20" s="365"/>
      <c r="J20" s="375"/>
      <c r="K20" s="375"/>
      <c r="L20" s="366">
        <f>(G20-F20)+(I20-H20)+(K20-J20)</f>
        <v>0</v>
      </c>
      <c r="M20" s="366">
        <f t="shared" si="29"/>
        <v>1.2666666666666666</v>
      </c>
      <c r="N20" s="382">
        <f>IF(Mei!$H$48="x",AU20+Mei!$N$37,AU20)</f>
        <v>9.8166666666666629</v>
      </c>
      <c r="O20" s="377" t="str">
        <f t="shared" si="21"/>
        <v>-</v>
      </c>
      <c r="P20" s="383">
        <f t="shared" si="22"/>
        <v>8.5499999999999972</v>
      </c>
      <c r="Q20" s="364">
        <f t="shared" si="0"/>
        <v>0</v>
      </c>
      <c r="R20" s="364">
        <f t="shared" si="1"/>
        <v>0</v>
      </c>
      <c r="S20" s="364">
        <f t="shared" si="2"/>
        <v>0</v>
      </c>
      <c r="T20" s="364">
        <f t="shared" si="3"/>
        <v>0</v>
      </c>
      <c r="U20" s="366">
        <f>L20</f>
        <v>0</v>
      </c>
      <c r="V20" s="366">
        <f t="shared" si="23"/>
        <v>0</v>
      </c>
      <c r="W20" s="366">
        <f t="shared" si="24"/>
        <v>0</v>
      </c>
      <c r="X20" s="364"/>
      <c r="Y20" s="365"/>
      <c r="Z20" s="365"/>
      <c r="AA20" s="368">
        <f t="shared" si="4"/>
        <v>0</v>
      </c>
      <c r="AB20" s="368">
        <f t="shared" si="5"/>
        <v>0</v>
      </c>
      <c r="AC20" s="368">
        <f t="shared" si="25"/>
        <v>0</v>
      </c>
      <c r="AD20" s="368">
        <f t="shared" si="6"/>
        <v>0</v>
      </c>
      <c r="AE20" s="369">
        <f t="shared" si="26"/>
        <v>0</v>
      </c>
      <c r="AF20" s="368">
        <f t="shared" si="27"/>
        <v>0</v>
      </c>
      <c r="AG20" s="369">
        <f t="shared" si="28"/>
        <v>0</v>
      </c>
      <c r="AH20" s="368">
        <f t="shared" si="7"/>
        <v>0</v>
      </c>
      <c r="AI20" s="370">
        <f>IF((D20&lt;&gt;""),VLOOKUP(D20,Data!$E$36:$H$53,4),)</f>
        <v>0</v>
      </c>
      <c r="AJ20" s="370">
        <f t="shared" si="8"/>
        <v>0</v>
      </c>
      <c r="AK20" s="371">
        <f t="shared" si="9"/>
        <v>0</v>
      </c>
      <c r="AL20" s="371">
        <f t="shared" si="10"/>
        <v>0</v>
      </c>
      <c r="AM20" s="372">
        <f t="shared" si="11"/>
        <v>0</v>
      </c>
      <c r="AN20" s="370">
        <f t="shared" si="12"/>
        <v>0</v>
      </c>
      <c r="AO20" s="373">
        <f t="shared" si="13"/>
        <v>0</v>
      </c>
      <c r="AP20" s="373">
        <f t="shared" si="14"/>
        <v>0</v>
      </c>
      <c r="AQ20" s="373">
        <f t="shared" si="15"/>
        <v>0</v>
      </c>
      <c r="AR20" s="373">
        <f t="shared" si="16"/>
        <v>0</v>
      </c>
      <c r="AS20" s="371">
        <f t="shared" si="17"/>
        <v>0</v>
      </c>
      <c r="AT20" s="371">
        <f t="shared" si="18"/>
        <v>0</v>
      </c>
      <c r="AU20" s="366">
        <f>IF(Data!$H$8="x",AV20,AW20)</f>
        <v>3.1666666666666661</v>
      </c>
      <c r="AV20" s="366">
        <f>AW20/2</f>
        <v>1.583333333333333</v>
      </c>
      <c r="AW20" s="366">
        <f>AW19</f>
        <v>3.1666666666666661</v>
      </c>
      <c r="AX20" s="362" t="str">
        <f t="shared" si="20"/>
        <v>Zo</v>
      </c>
      <c r="AY20" s="371">
        <f>IF((R39="M3.2")*AND(R40&lt;&gt;""),VLOOKUP(R40,Barema!$BD$5:$BE$31,2),)</f>
        <v>0</v>
      </c>
      <c r="AZ20" s="371" t="s">
        <v>13</v>
      </c>
      <c r="BA20" s="439"/>
    </row>
    <row r="21" spans="1:53" s="378" customFormat="1" x14ac:dyDescent="0.2">
      <c r="A21" s="309"/>
      <c r="B21" s="6" t="s">
        <v>175</v>
      </c>
      <c r="C21" s="311" t="s">
        <v>396</v>
      </c>
      <c r="D21" s="312"/>
      <c r="E21" s="312"/>
      <c r="F21" s="274"/>
      <c r="G21" s="274"/>
      <c r="H21" s="310"/>
      <c r="I21" s="310"/>
      <c r="J21" s="336"/>
      <c r="K21" s="336"/>
      <c r="L21" s="313">
        <f>(G21-F21)+(I21-H21)+(K21-J21)+AI21+AN21</f>
        <v>0</v>
      </c>
      <c r="M21" s="313">
        <f t="shared" si="29"/>
        <v>1.2666666666666666</v>
      </c>
      <c r="N21" s="338">
        <f>IF(Mei!$H$48="x",AU21+Mei!$N$37,AU21)</f>
        <v>10.133333333333329</v>
      </c>
      <c r="O21" s="337" t="str">
        <f t="shared" si="21"/>
        <v>-</v>
      </c>
      <c r="P21" s="339">
        <f t="shared" si="22"/>
        <v>8.8666666666666636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5"/>
        <v>0</v>
      </c>
      <c r="AD21" s="315">
        <f t="shared" si="6"/>
        <v>0</v>
      </c>
      <c r="AE21" s="316">
        <f t="shared" si="26"/>
        <v>0</v>
      </c>
      <c r="AF21" s="315">
        <f t="shared" si="27"/>
        <v>0</v>
      </c>
      <c r="AG21" s="316">
        <f t="shared" si="28"/>
        <v>0</v>
      </c>
      <c r="AH21" s="315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>AW21/2</f>
        <v>1.7416666666666663</v>
      </c>
      <c r="AW21" s="313">
        <f>IF(D21="V",AW20,(AW20+"07:36"))</f>
        <v>3.4833333333333325</v>
      </c>
      <c r="AX21" s="6" t="str">
        <f t="shared" si="20"/>
        <v>Ma</v>
      </c>
      <c r="AY21" s="4">
        <f>IF((R39="M4.1")*AND(R40&lt;&gt;""),VLOOKUP(R40,Barema!$BG$5:$BH$34,2),)</f>
        <v>0</v>
      </c>
      <c r="AZ21" s="4" t="s">
        <v>14</v>
      </c>
      <c r="BA21" s="102"/>
    </row>
    <row r="22" spans="1:53" s="378" customFormat="1" x14ac:dyDescent="0.2">
      <c r="A22" s="309"/>
      <c r="B22" s="6" t="s">
        <v>177</v>
      </c>
      <c r="C22" s="311" t="s">
        <v>397</v>
      </c>
      <c r="D22" s="312"/>
      <c r="E22" s="312"/>
      <c r="F22" s="274"/>
      <c r="G22" s="274"/>
      <c r="H22" s="310"/>
      <c r="I22" s="310"/>
      <c r="J22" s="336"/>
      <c r="K22" s="336"/>
      <c r="L22" s="313">
        <f>(G22-F22)+(I22-H22)+(K22-J22)+AI22+AN22</f>
        <v>0</v>
      </c>
      <c r="M22" s="313">
        <f t="shared" si="29"/>
        <v>1.2666666666666666</v>
      </c>
      <c r="N22" s="338">
        <f>IF(Mei!$H$48="x",AU22+Mei!$N$37,AU22)</f>
        <v>10.449999999999996</v>
      </c>
      <c r="O22" s="337" t="str">
        <f t="shared" si="21"/>
        <v>-</v>
      </c>
      <c r="P22" s="339">
        <f t="shared" si="22"/>
        <v>9.18333333333333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5"/>
        <v>0</v>
      </c>
      <c r="AD22" s="315">
        <f t="shared" si="6"/>
        <v>0</v>
      </c>
      <c r="AE22" s="316">
        <f t="shared" si="26"/>
        <v>0</v>
      </c>
      <c r="AF22" s="315">
        <f t="shared" si="27"/>
        <v>0</v>
      </c>
      <c r="AG22" s="316">
        <f t="shared" si="28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Di</v>
      </c>
      <c r="AY22" s="4">
        <f>IF((R39="M4.2")*AND(R40&lt;&gt;""),VLOOKUP(R40,Barema!$BJ$5:$BK$31,2),)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179</v>
      </c>
      <c r="C23" s="311" t="s">
        <v>398</v>
      </c>
      <c r="D23" s="312"/>
      <c r="E23" s="312"/>
      <c r="F23" s="274"/>
      <c r="G23" s="274"/>
      <c r="H23" s="310"/>
      <c r="I23" s="310"/>
      <c r="J23" s="336"/>
      <c r="K23" s="336"/>
      <c r="L23" s="313">
        <f>(G23-F23)+(I23-H23)+(K23-J23)+AI23+AN23</f>
        <v>0</v>
      </c>
      <c r="M23" s="313">
        <f>M22+L23</f>
        <v>1.2666666666666666</v>
      </c>
      <c r="N23" s="338">
        <f>IF(Mei!$H$48="x",AU23+Mei!$N$37,AU23)</f>
        <v>10.766666666666662</v>
      </c>
      <c r="O23" s="337" t="str">
        <f t="shared" si="21"/>
        <v>-</v>
      </c>
      <c r="P23" s="339">
        <f t="shared" si="22"/>
        <v>9.4999999999999964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5"/>
        <v>0</v>
      </c>
      <c r="AD23" s="315">
        <f t="shared" si="6"/>
        <v>0</v>
      </c>
      <c r="AE23" s="316">
        <f t="shared" si="26"/>
        <v>0</v>
      </c>
      <c r="AF23" s="315">
        <f t="shared" si="27"/>
        <v>0</v>
      </c>
      <c r="AG23" s="316">
        <f t="shared" si="28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4.1166666666666654</v>
      </c>
      <c r="AV23" s="313">
        <f t="shared" si="19"/>
        <v>2.0583333333333327</v>
      </c>
      <c r="AW23" s="313">
        <f>IF(D23="V",AW22,(AW22+"07:36"))</f>
        <v>4.1166666666666654</v>
      </c>
      <c r="AX23" s="6" t="str">
        <f t="shared" si="20"/>
        <v>Wo</v>
      </c>
      <c r="AY23" s="4">
        <f>IF((R39="M5.1")*AND(R40&lt;&gt;""),VLOOKUP(R40,Barema!$BM$5:$BN$34,2),)</f>
        <v>0</v>
      </c>
      <c r="AZ23" s="4" t="s">
        <v>16</v>
      </c>
      <c r="BA23" s="102"/>
    </row>
    <row r="24" spans="1:53" s="378" customFormat="1" x14ac:dyDescent="0.2">
      <c r="A24" s="309"/>
      <c r="B24" s="6" t="s">
        <v>167</v>
      </c>
      <c r="C24" s="311" t="s">
        <v>399</v>
      </c>
      <c r="D24" s="312"/>
      <c r="E24" s="312"/>
      <c r="F24" s="274"/>
      <c r="G24" s="274"/>
      <c r="H24" s="310"/>
      <c r="I24" s="310"/>
      <c r="J24" s="336"/>
      <c r="K24" s="336"/>
      <c r="L24" s="313">
        <f>(G24-F24)+(I24-H24)+(K24-J24)+AI24+AN24</f>
        <v>0</v>
      </c>
      <c r="M24" s="313">
        <f>M23+L24</f>
        <v>1.2666666666666666</v>
      </c>
      <c r="N24" s="338">
        <f>IF(Mei!$H$48="x",AU24+Mei!$N$37,AU24)</f>
        <v>11.083333333333329</v>
      </c>
      <c r="O24" s="337" t="str">
        <f t="shared" si="21"/>
        <v>-</v>
      </c>
      <c r="P24" s="339">
        <f t="shared" si="22"/>
        <v>9.8166666666666629</v>
      </c>
      <c r="Q24" s="312">
        <f t="shared" si="0"/>
        <v>0</v>
      </c>
      <c r="R24" s="312">
        <f t="shared" si="1"/>
        <v>0</v>
      </c>
      <c r="S24" s="312">
        <f t="shared" si="2"/>
        <v>0</v>
      </c>
      <c r="T24" s="312">
        <f t="shared" si="3"/>
        <v>0</v>
      </c>
      <c r="U24" s="313">
        <f>IF(D24="F",L24,0)</f>
        <v>0</v>
      </c>
      <c r="V24" s="313">
        <f t="shared" si="23"/>
        <v>0</v>
      </c>
      <c r="W24" s="313">
        <f t="shared" si="24"/>
        <v>0</v>
      </c>
      <c r="X24" s="312"/>
      <c r="Y24" s="310"/>
      <c r="Z24" s="310"/>
      <c r="AA24" s="315">
        <f t="shared" si="4"/>
        <v>0</v>
      </c>
      <c r="AB24" s="315">
        <f t="shared" si="5"/>
        <v>0</v>
      </c>
      <c r="AC24" s="315">
        <f t="shared" si="25"/>
        <v>0</v>
      </c>
      <c r="AD24" s="315">
        <f t="shared" si="6"/>
        <v>0</v>
      </c>
      <c r="AE24" s="316">
        <f t="shared" si="26"/>
        <v>0</v>
      </c>
      <c r="AF24" s="315">
        <f t="shared" si="27"/>
        <v>0</v>
      </c>
      <c r="AG24" s="316">
        <f t="shared" si="28"/>
        <v>0</v>
      </c>
      <c r="AH24" s="315">
        <f t="shared" si="7"/>
        <v>0</v>
      </c>
      <c r="AI24" s="123">
        <f>IF((D24&lt;&gt;""),VLOOKUP(D24,Data!$E$36:$H$53,4),)</f>
        <v>0</v>
      </c>
      <c r="AJ24" s="123">
        <f t="shared" si="8"/>
        <v>0</v>
      </c>
      <c r="AK24" s="4">
        <f t="shared" si="9"/>
        <v>0</v>
      </c>
      <c r="AL24" s="4">
        <f t="shared" si="10"/>
        <v>0</v>
      </c>
      <c r="AM24" s="1">
        <f t="shared" si="11"/>
        <v>0</v>
      </c>
      <c r="AN24" s="123">
        <f t="shared" si="12"/>
        <v>0</v>
      </c>
      <c r="AO24" s="317">
        <f t="shared" si="13"/>
        <v>0</v>
      </c>
      <c r="AP24" s="317">
        <f t="shared" si="14"/>
        <v>0</v>
      </c>
      <c r="AQ24" s="317">
        <f t="shared" si="15"/>
        <v>0</v>
      </c>
      <c r="AR24" s="317">
        <f t="shared" si="16"/>
        <v>0</v>
      </c>
      <c r="AS24" s="4">
        <f t="shared" si="17"/>
        <v>0</v>
      </c>
      <c r="AT24" s="4">
        <f t="shared" si="18"/>
        <v>0</v>
      </c>
      <c r="AU24" s="313">
        <f>IF(Data!$H$8="x",AV24,AW24)</f>
        <v>4.4333333333333318</v>
      </c>
      <c r="AV24" s="313">
        <f t="shared" si="19"/>
        <v>2.2166666666666659</v>
      </c>
      <c r="AW24" s="313">
        <f>IF(D24="V",AW23,(AW23+"07:36"))</f>
        <v>4.4333333333333318</v>
      </c>
      <c r="AX24" s="6" t="str">
        <f t="shared" si="20"/>
        <v>Do</v>
      </c>
      <c r="AY24" s="4">
        <f>IF((R39="M5.2")*AND(R40&lt;&gt;""),VLOOKUP(R40,Barema!$BP$5:$BQ$31,2),)</f>
        <v>0</v>
      </c>
      <c r="AZ24" s="4" t="s">
        <v>17</v>
      </c>
      <c r="BA24" s="102"/>
    </row>
    <row r="25" spans="1:53" s="378" customFormat="1" x14ac:dyDescent="0.2">
      <c r="A25" s="309"/>
      <c r="B25" s="6" t="s">
        <v>169</v>
      </c>
      <c r="C25" s="311" t="s">
        <v>400</v>
      </c>
      <c r="D25" s="312"/>
      <c r="E25" s="414"/>
      <c r="F25" s="274"/>
      <c r="G25" s="274"/>
      <c r="H25" s="310"/>
      <c r="I25" s="310"/>
      <c r="J25" s="336"/>
      <c r="K25" s="336"/>
      <c r="L25" s="313">
        <f>(G25-F25)+(I25-H25)+(K25-J25)+AI25+AN25</f>
        <v>0</v>
      </c>
      <c r="M25" s="313">
        <f t="shared" si="29"/>
        <v>1.2666666666666666</v>
      </c>
      <c r="N25" s="338">
        <f>IF(Mei!$H$48="x",AU25+Mei!$N$37,AU25)</f>
        <v>11.399999999999995</v>
      </c>
      <c r="O25" s="337" t="str">
        <f t="shared" si="21"/>
        <v>-</v>
      </c>
      <c r="P25" s="339">
        <f t="shared" si="22"/>
        <v>10.133333333333329</v>
      </c>
      <c r="Q25" s="312">
        <f t="shared" si="0"/>
        <v>0</v>
      </c>
      <c r="R25" s="312">
        <f t="shared" si="1"/>
        <v>0</v>
      </c>
      <c r="S25" s="312">
        <f t="shared" si="2"/>
        <v>0</v>
      </c>
      <c r="T25" s="312">
        <f t="shared" si="3"/>
        <v>0</v>
      </c>
      <c r="U25" s="313">
        <f>IF(D25="F",L25,0)</f>
        <v>0</v>
      </c>
      <c r="V25" s="313">
        <f t="shared" si="23"/>
        <v>0</v>
      </c>
      <c r="W25" s="313">
        <f t="shared" si="24"/>
        <v>0</v>
      </c>
      <c r="X25" s="312"/>
      <c r="Y25" s="310"/>
      <c r="Z25" s="310"/>
      <c r="AA25" s="315">
        <f t="shared" si="4"/>
        <v>0</v>
      </c>
      <c r="AB25" s="315">
        <f t="shared" si="5"/>
        <v>0</v>
      </c>
      <c r="AC25" s="315">
        <f t="shared" si="25"/>
        <v>0</v>
      </c>
      <c r="AD25" s="315">
        <f t="shared" si="6"/>
        <v>0</v>
      </c>
      <c r="AE25" s="316">
        <f t="shared" si="26"/>
        <v>0</v>
      </c>
      <c r="AF25" s="315">
        <f t="shared" si="27"/>
        <v>0</v>
      </c>
      <c r="AG25" s="316">
        <f t="shared" si="28"/>
        <v>0</v>
      </c>
      <c r="AH25" s="315">
        <f t="shared" si="7"/>
        <v>0</v>
      </c>
      <c r="AI25" s="123">
        <f>IF((D25&lt;&gt;""),VLOOKUP(D25,Data!$E$36:$H$53,4),)</f>
        <v>0</v>
      </c>
      <c r="AJ25" s="123">
        <f t="shared" si="8"/>
        <v>0</v>
      </c>
      <c r="AK25" s="4">
        <f t="shared" si="9"/>
        <v>0</v>
      </c>
      <c r="AL25" s="4">
        <f t="shared" si="10"/>
        <v>0</v>
      </c>
      <c r="AM25" s="1">
        <f t="shared" si="11"/>
        <v>0</v>
      </c>
      <c r="AN25" s="123">
        <f t="shared" si="12"/>
        <v>0</v>
      </c>
      <c r="AO25" s="317">
        <f t="shared" si="13"/>
        <v>0</v>
      </c>
      <c r="AP25" s="317">
        <f t="shared" si="14"/>
        <v>0</v>
      </c>
      <c r="AQ25" s="317">
        <f t="shared" si="15"/>
        <v>0</v>
      </c>
      <c r="AR25" s="317">
        <f t="shared" si="16"/>
        <v>0</v>
      </c>
      <c r="AS25" s="4">
        <f t="shared" si="17"/>
        <v>0</v>
      </c>
      <c r="AT25" s="4">
        <f t="shared" si="18"/>
        <v>0</v>
      </c>
      <c r="AU25" s="313">
        <f>IF(Data!$H$8="x",AV25,AW25)</f>
        <v>4.7499999999999982</v>
      </c>
      <c r="AV25" s="313">
        <f t="shared" si="19"/>
        <v>2.3749999999999991</v>
      </c>
      <c r="AW25" s="313">
        <f>IF(D25="V",AW24,(AW24+"07:36"))</f>
        <v>4.7499999999999982</v>
      </c>
      <c r="AX25" s="6" t="str">
        <f t="shared" si="20"/>
        <v>Vr</v>
      </c>
      <c r="AY25" s="4">
        <f>IF((R39="M6")*AND(R40&lt;&gt;""),VLOOKUP(R40,Barema!$BS$5:$BT$31,2),)</f>
        <v>0</v>
      </c>
      <c r="AZ25" s="4" t="s">
        <v>18</v>
      </c>
      <c r="BA25" s="102"/>
    </row>
    <row r="26" spans="1:53" s="376" customFormat="1" x14ac:dyDescent="0.2">
      <c r="A26" s="374"/>
      <c r="B26" s="362" t="s">
        <v>171</v>
      </c>
      <c r="C26" s="363" t="s">
        <v>401</v>
      </c>
      <c r="D26" s="364"/>
      <c r="E26" s="364"/>
      <c r="F26" s="365"/>
      <c r="G26" s="365"/>
      <c r="H26" s="365"/>
      <c r="I26" s="365"/>
      <c r="J26" s="375"/>
      <c r="K26" s="375"/>
      <c r="L26" s="366">
        <f>(G26-F26)+(I26-H26)+(K26-J26)</f>
        <v>0</v>
      </c>
      <c r="M26" s="366">
        <f t="shared" si="29"/>
        <v>1.2666666666666666</v>
      </c>
      <c r="N26" s="382">
        <f>IF(Mei!$H$48="x",AU26+Mei!$N$37,AU26)</f>
        <v>11.399999999999995</v>
      </c>
      <c r="O26" s="377" t="str">
        <f t="shared" si="21"/>
        <v>-</v>
      </c>
      <c r="P26" s="383">
        <f t="shared" si="22"/>
        <v>10.133333333333329</v>
      </c>
      <c r="Q26" s="364">
        <f t="shared" si="0"/>
        <v>0</v>
      </c>
      <c r="R26" s="364">
        <f t="shared" si="1"/>
        <v>0</v>
      </c>
      <c r="S26" s="364">
        <f t="shared" si="2"/>
        <v>0</v>
      </c>
      <c r="T26" s="364">
        <f t="shared" si="3"/>
        <v>0</v>
      </c>
      <c r="U26" s="366">
        <f>L26</f>
        <v>0</v>
      </c>
      <c r="V26" s="366">
        <f t="shared" si="23"/>
        <v>0</v>
      </c>
      <c r="W26" s="366">
        <f t="shared" si="24"/>
        <v>0</v>
      </c>
      <c r="X26" s="364"/>
      <c r="Y26" s="365"/>
      <c r="Z26" s="365"/>
      <c r="AA26" s="368">
        <f t="shared" si="4"/>
        <v>0</v>
      </c>
      <c r="AB26" s="368">
        <f t="shared" si="5"/>
        <v>0</v>
      </c>
      <c r="AC26" s="368">
        <f t="shared" si="25"/>
        <v>0</v>
      </c>
      <c r="AD26" s="368">
        <f t="shared" si="6"/>
        <v>0</v>
      </c>
      <c r="AE26" s="369">
        <f t="shared" si="26"/>
        <v>0</v>
      </c>
      <c r="AF26" s="368">
        <f t="shared" si="27"/>
        <v>0</v>
      </c>
      <c r="AG26" s="369">
        <f t="shared" si="28"/>
        <v>0</v>
      </c>
      <c r="AH26" s="368">
        <f t="shared" si="7"/>
        <v>0</v>
      </c>
      <c r="AI26" s="370">
        <f>IF((D26&lt;&gt;""),VLOOKUP(D26,Data!$E$36:$H$53,4),)</f>
        <v>0</v>
      </c>
      <c r="AJ26" s="370">
        <f t="shared" si="8"/>
        <v>0</v>
      </c>
      <c r="AK26" s="371">
        <f t="shared" si="9"/>
        <v>0</v>
      </c>
      <c r="AL26" s="371">
        <f t="shared" si="10"/>
        <v>0</v>
      </c>
      <c r="AM26" s="372">
        <f t="shared" si="11"/>
        <v>0</v>
      </c>
      <c r="AN26" s="370">
        <f t="shared" si="12"/>
        <v>0</v>
      </c>
      <c r="AO26" s="373">
        <f t="shared" si="13"/>
        <v>0</v>
      </c>
      <c r="AP26" s="373">
        <f t="shared" si="14"/>
        <v>0</v>
      </c>
      <c r="AQ26" s="373">
        <f t="shared" si="15"/>
        <v>0</v>
      </c>
      <c r="AR26" s="373">
        <f t="shared" si="16"/>
        <v>0</v>
      </c>
      <c r="AS26" s="371">
        <f t="shared" si="17"/>
        <v>0</v>
      </c>
      <c r="AT26" s="371">
        <f t="shared" si="18"/>
        <v>0</v>
      </c>
      <c r="AU26" s="366">
        <f>IF(Data!$H$8="x",AV26,AW26)</f>
        <v>4.7499999999999982</v>
      </c>
      <c r="AV26" s="366">
        <f t="shared" si="19"/>
        <v>2.3749999999999991</v>
      </c>
      <c r="AW26" s="366">
        <f>AW25</f>
        <v>4.7499999999999982</v>
      </c>
      <c r="AX26" s="362" t="str">
        <f t="shared" si="20"/>
        <v>Za</v>
      </c>
      <c r="AY26" s="371">
        <f>IF((R39="M7")*AND(R40&lt;&gt;""),VLOOKUP(R40,Barema!$BV$5:$BW$31,2),)</f>
        <v>0</v>
      </c>
      <c r="AZ26" s="371" t="s">
        <v>19</v>
      </c>
      <c r="BA26" s="439"/>
    </row>
    <row r="27" spans="1:53" s="376" customFormat="1" x14ac:dyDescent="0.2">
      <c r="A27" s="374"/>
      <c r="B27" s="362" t="s">
        <v>173</v>
      </c>
      <c r="C27" s="363" t="s">
        <v>402</v>
      </c>
      <c r="D27" s="364"/>
      <c r="E27" s="403"/>
      <c r="F27" s="365"/>
      <c r="G27" s="365"/>
      <c r="H27" s="365"/>
      <c r="I27" s="365"/>
      <c r="J27" s="375"/>
      <c r="K27" s="375"/>
      <c r="L27" s="366">
        <f>(G27-F27)+(I27-H27)+(K27-J27)</f>
        <v>0</v>
      </c>
      <c r="M27" s="366">
        <f t="shared" si="29"/>
        <v>1.2666666666666666</v>
      </c>
      <c r="N27" s="382">
        <f>IF(Mei!$H$48="x",AU27+Mei!$N$37,AU27)</f>
        <v>11.399999999999995</v>
      </c>
      <c r="O27" s="377" t="str">
        <f t="shared" si="21"/>
        <v>-</v>
      </c>
      <c r="P27" s="383">
        <f t="shared" si="22"/>
        <v>10.133333333333329</v>
      </c>
      <c r="Q27" s="364">
        <f t="shared" si="0"/>
        <v>0</v>
      </c>
      <c r="R27" s="364">
        <f t="shared" si="1"/>
        <v>0</v>
      </c>
      <c r="S27" s="364">
        <f t="shared" si="2"/>
        <v>0</v>
      </c>
      <c r="T27" s="364">
        <f t="shared" si="3"/>
        <v>0</v>
      </c>
      <c r="U27" s="366">
        <f>L27</f>
        <v>0</v>
      </c>
      <c r="V27" s="366">
        <f t="shared" si="23"/>
        <v>0</v>
      </c>
      <c r="W27" s="366">
        <f t="shared" si="24"/>
        <v>0</v>
      </c>
      <c r="X27" s="364"/>
      <c r="Y27" s="365"/>
      <c r="Z27" s="365"/>
      <c r="AA27" s="368">
        <f t="shared" si="4"/>
        <v>0</v>
      </c>
      <c r="AB27" s="368">
        <f t="shared" si="5"/>
        <v>0</v>
      </c>
      <c r="AC27" s="368">
        <f t="shared" si="25"/>
        <v>0</v>
      </c>
      <c r="AD27" s="368">
        <f t="shared" si="6"/>
        <v>0</v>
      </c>
      <c r="AE27" s="369">
        <f t="shared" si="26"/>
        <v>0</v>
      </c>
      <c r="AF27" s="368">
        <f t="shared" si="27"/>
        <v>0</v>
      </c>
      <c r="AG27" s="369">
        <f t="shared" si="28"/>
        <v>0</v>
      </c>
      <c r="AH27" s="368">
        <f t="shared" si="7"/>
        <v>0</v>
      </c>
      <c r="AI27" s="370">
        <f>IF((D27&lt;&gt;""),VLOOKUP(D27,Data!$E$36:$H$53,4),)</f>
        <v>0</v>
      </c>
      <c r="AJ27" s="370">
        <f t="shared" si="8"/>
        <v>0</v>
      </c>
      <c r="AK27" s="371">
        <f t="shared" si="9"/>
        <v>0</v>
      </c>
      <c r="AL27" s="371">
        <f t="shared" si="10"/>
        <v>0</v>
      </c>
      <c r="AM27" s="372">
        <f t="shared" si="11"/>
        <v>0</v>
      </c>
      <c r="AN27" s="370">
        <f t="shared" si="12"/>
        <v>0</v>
      </c>
      <c r="AO27" s="373">
        <f t="shared" si="13"/>
        <v>0</v>
      </c>
      <c r="AP27" s="373">
        <f t="shared" si="14"/>
        <v>0</v>
      </c>
      <c r="AQ27" s="373">
        <f t="shared" si="15"/>
        <v>0</v>
      </c>
      <c r="AR27" s="373">
        <f t="shared" si="16"/>
        <v>0</v>
      </c>
      <c r="AS27" s="371">
        <f t="shared" si="17"/>
        <v>0</v>
      </c>
      <c r="AT27" s="371">
        <f t="shared" si="18"/>
        <v>0</v>
      </c>
      <c r="AU27" s="366">
        <f>IF(Data!$H$8="x",AV27,AW27)</f>
        <v>4.7499999999999982</v>
      </c>
      <c r="AV27" s="366">
        <f t="shared" si="19"/>
        <v>2.3749999999999991</v>
      </c>
      <c r="AW27" s="366">
        <f>AW26</f>
        <v>4.7499999999999982</v>
      </c>
      <c r="AX27" s="362" t="str">
        <f t="shared" si="20"/>
        <v>Zo</v>
      </c>
      <c r="AY27" s="371">
        <f>IF((R39="M7bis")*AND(R40&lt;&gt;""),VLOOKUP(R40,Barema!$BY$5:$BZ$31,2),)</f>
        <v>0</v>
      </c>
      <c r="AZ27" s="371" t="s">
        <v>20</v>
      </c>
      <c r="BA27" s="439"/>
    </row>
    <row r="28" spans="1:53" s="378" customFormat="1" x14ac:dyDescent="0.2">
      <c r="A28" s="309"/>
      <c r="B28" s="6" t="s">
        <v>175</v>
      </c>
      <c r="C28" s="311" t="s">
        <v>403</v>
      </c>
      <c r="D28" s="312"/>
      <c r="E28" s="312"/>
      <c r="F28" s="274"/>
      <c r="G28" s="274"/>
      <c r="H28" s="310"/>
      <c r="I28" s="310"/>
      <c r="J28" s="336"/>
      <c r="K28" s="336"/>
      <c r="L28" s="313">
        <f>(G28-F28)+(I28-H28)+(K28-J28)+AI28+AN28</f>
        <v>0</v>
      </c>
      <c r="M28" s="313">
        <f t="shared" si="29"/>
        <v>1.2666666666666666</v>
      </c>
      <c r="N28" s="338">
        <f>IF(Mei!$H$48="x",AU28+Mei!$N$37,AU28)</f>
        <v>11.716666666666661</v>
      </c>
      <c r="O28" s="337" t="str">
        <f t="shared" si="21"/>
        <v>-</v>
      </c>
      <c r="P28" s="339">
        <f t="shared" si="22"/>
        <v>10.449999999999996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5"/>
        <v>0</v>
      </c>
      <c r="AD28" s="315">
        <f t="shared" si="6"/>
        <v>0</v>
      </c>
      <c r="AE28" s="316">
        <f t="shared" si="26"/>
        <v>0</v>
      </c>
      <c r="AF28" s="315">
        <f t="shared" si="27"/>
        <v>0</v>
      </c>
      <c r="AG28" s="316">
        <f t="shared" si="28"/>
        <v>0</v>
      </c>
      <c r="AH28" s="315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Ma</v>
      </c>
      <c r="AY28" s="4">
        <f>IF((R39="O1")*AND(R40&lt;&gt;""),VLOOKUP(R40,Barema!$Q$39:$R$65,2),)</f>
        <v>0</v>
      </c>
      <c r="AZ28" s="4" t="s">
        <v>21</v>
      </c>
      <c r="BA28" s="102"/>
    </row>
    <row r="29" spans="1:53" s="378" customFormat="1" x14ac:dyDescent="0.2">
      <c r="A29" s="309"/>
      <c r="B29" s="6" t="s">
        <v>177</v>
      </c>
      <c r="C29" s="311" t="s">
        <v>404</v>
      </c>
      <c r="D29" s="312"/>
      <c r="E29" s="312"/>
      <c r="F29" s="274"/>
      <c r="G29" s="274"/>
      <c r="H29" s="310"/>
      <c r="I29" s="310"/>
      <c r="J29" s="336"/>
      <c r="K29" s="336"/>
      <c r="L29" s="313">
        <f>(G29-F29)+(I29-H29)+(K29-J29)+AI29+AN29</f>
        <v>0</v>
      </c>
      <c r="M29" s="313">
        <f t="shared" si="29"/>
        <v>1.2666666666666666</v>
      </c>
      <c r="N29" s="338">
        <f>IF(Mei!$H$48="x",AU29+Mei!$N$37,AU29)</f>
        <v>12.033333333333328</v>
      </c>
      <c r="O29" s="337" t="str">
        <f t="shared" si="21"/>
        <v>-</v>
      </c>
      <c r="P29" s="339">
        <f t="shared" si="22"/>
        <v>10.766666666666662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5"/>
        <v>0</v>
      </c>
      <c r="AD29" s="315">
        <f t="shared" si="6"/>
        <v>0</v>
      </c>
      <c r="AE29" s="316">
        <f t="shared" si="26"/>
        <v>0</v>
      </c>
      <c r="AF29" s="315">
        <f t="shared" si="27"/>
        <v>0</v>
      </c>
      <c r="AG29" s="316">
        <f t="shared" si="28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Di</v>
      </c>
      <c r="AY29" s="4">
        <f>IF((R39="O2")*AND(R40&lt;&gt;""),VLOOKUP(R40,Barema!$T$39:$U$65,2),)</f>
        <v>36448.949999999997</v>
      </c>
      <c r="AZ29" s="4" t="s">
        <v>22</v>
      </c>
      <c r="BA29" s="102"/>
    </row>
    <row r="30" spans="1:53" s="378" customFormat="1" x14ac:dyDescent="0.2">
      <c r="A30" s="309"/>
      <c r="B30" s="6" t="s">
        <v>179</v>
      </c>
      <c r="C30" s="311" t="s">
        <v>405</v>
      </c>
      <c r="D30" s="312"/>
      <c r="E30" s="312"/>
      <c r="F30" s="274"/>
      <c r="G30" s="274"/>
      <c r="H30" s="310"/>
      <c r="I30" s="310"/>
      <c r="J30" s="336"/>
      <c r="K30" s="336"/>
      <c r="L30" s="313">
        <f>(G30-F30)+(I30-H30)+(K30-J30)+AI30+AN30</f>
        <v>0</v>
      </c>
      <c r="M30" s="313">
        <f>M29+L30</f>
        <v>1.2666666666666666</v>
      </c>
      <c r="N30" s="338">
        <f>IF(Mei!$H$48="x",AU30+Mei!$N$37,AU30)</f>
        <v>12.349999999999994</v>
      </c>
      <c r="O30" s="337" t="str">
        <f t="shared" si="21"/>
        <v>-</v>
      </c>
      <c r="P30" s="339">
        <f t="shared" si="22"/>
        <v>11.083333333333329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5"/>
        <v>0</v>
      </c>
      <c r="AD30" s="315">
        <f t="shared" si="6"/>
        <v>0</v>
      </c>
      <c r="AE30" s="316">
        <f t="shared" si="26"/>
        <v>0</v>
      </c>
      <c r="AF30" s="315">
        <f t="shared" si="27"/>
        <v>0</v>
      </c>
      <c r="AG30" s="316">
        <f t="shared" si="28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5.6999999999999975</v>
      </c>
      <c r="AV30" s="313">
        <f t="shared" si="19"/>
        <v>2.8499999999999988</v>
      </c>
      <c r="AW30" s="313">
        <f>IF(D30="V",AW29,(AW29+"07:36"))</f>
        <v>5.6999999999999975</v>
      </c>
      <c r="AX30" s="6" t="str">
        <f t="shared" si="20"/>
        <v>Wo</v>
      </c>
      <c r="AY30" s="4">
        <f>IF((R39="O2ir")*AND(R40&lt;&gt;""),VLOOKUP(R40,Barema!$AR$39:$AS$65,2),)</f>
        <v>0</v>
      </c>
      <c r="AZ30" s="4" t="s">
        <v>30</v>
      </c>
      <c r="BA30" s="102"/>
    </row>
    <row r="31" spans="1:53" s="378" customFormat="1" x14ac:dyDescent="0.2">
      <c r="A31" s="309"/>
      <c r="B31" s="6" t="s">
        <v>167</v>
      </c>
      <c r="C31" s="311" t="s">
        <v>406</v>
      </c>
      <c r="D31" s="312"/>
      <c r="E31" s="312"/>
      <c r="F31" s="274"/>
      <c r="G31" s="274"/>
      <c r="H31" s="310"/>
      <c r="I31" s="310"/>
      <c r="J31" s="336"/>
      <c r="K31" s="336"/>
      <c r="L31" s="313">
        <f>(G31-F31)+(I31-H31)+(K31-J31)+AI31+AN31</f>
        <v>0</v>
      </c>
      <c r="M31" s="313">
        <f>M30+L31</f>
        <v>1.2666666666666666</v>
      </c>
      <c r="N31" s="338">
        <f>IF(Mei!$H$48="x",AU31+Mei!$N$37,AU31)</f>
        <v>12.666666666666661</v>
      </c>
      <c r="O31" s="337" t="str">
        <f t="shared" si="21"/>
        <v>-</v>
      </c>
      <c r="P31" s="339">
        <f t="shared" si="22"/>
        <v>11.399999999999995</v>
      </c>
      <c r="Q31" s="312">
        <f t="shared" si="0"/>
        <v>0</v>
      </c>
      <c r="R31" s="312">
        <f t="shared" si="1"/>
        <v>0</v>
      </c>
      <c r="S31" s="312">
        <f t="shared" si="2"/>
        <v>0</v>
      </c>
      <c r="T31" s="312">
        <f t="shared" si="3"/>
        <v>0</v>
      </c>
      <c r="U31" s="313">
        <f>IF(D31="F",L31,0)</f>
        <v>0</v>
      </c>
      <c r="V31" s="313">
        <f t="shared" si="23"/>
        <v>0</v>
      </c>
      <c r="W31" s="313">
        <f t="shared" si="24"/>
        <v>0</v>
      </c>
      <c r="X31" s="312"/>
      <c r="Y31" s="310"/>
      <c r="Z31" s="310"/>
      <c r="AA31" s="315">
        <f t="shared" si="4"/>
        <v>0</v>
      </c>
      <c r="AB31" s="315">
        <f t="shared" si="5"/>
        <v>0</v>
      </c>
      <c r="AC31" s="315">
        <f t="shared" si="25"/>
        <v>0</v>
      </c>
      <c r="AD31" s="315">
        <f t="shared" si="6"/>
        <v>0</v>
      </c>
      <c r="AE31" s="316">
        <f t="shared" si="26"/>
        <v>0</v>
      </c>
      <c r="AF31" s="315">
        <f t="shared" si="27"/>
        <v>0</v>
      </c>
      <c r="AG31" s="316">
        <f t="shared" si="28"/>
        <v>0</v>
      </c>
      <c r="AH31" s="315">
        <f t="shared" si="7"/>
        <v>0</v>
      </c>
      <c r="AI31" s="123">
        <f>IF((D31&lt;&gt;""),VLOOKUP(D31,Data!$E$36:$H$53,4),)</f>
        <v>0</v>
      </c>
      <c r="AJ31" s="123">
        <f t="shared" si="8"/>
        <v>0</v>
      </c>
      <c r="AK31" s="4">
        <f t="shared" si="9"/>
        <v>0</v>
      </c>
      <c r="AL31" s="4">
        <f t="shared" si="10"/>
        <v>0</v>
      </c>
      <c r="AM31" s="1">
        <f t="shared" si="11"/>
        <v>0</v>
      </c>
      <c r="AN31" s="123">
        <f t="shared" si="12"/>
        <v>0</v>
      </c>
      <c r="AO31" s="317">
        <f t="shared" si="13"/>
        <v>0</v>
      </c>
      <c r="AP31" s="317">
        <f t="shared" si="14"/>
        <v>0</v>
      </c>
      <c r="AQ31" s="317">
        <f t="shared" si="15"/>
        <v>0</v>
      </c>
      <c r="AR31" s="317">
        <f t="shared" si="16"/>
        <v>0</v>
      </c>
      <c r="AS31" s="4">
        <f t="shared" si="17"/>
        <v>0</v>
      </c>
      <c r="AT31" s="4">
        <f t="shared" si="18"/>
        <v>0</v>
      </c>
      <c r="AU31" s="313">
        <f>IF(Data!$H$8="x",AV31,AW31)</f>
        <v>6.0166666666666639</v>
      </c>
      <c r="AV31" s="313">
        <f t="shared" si="19"/>
        <v>3.008333333333332</v>
      </c>
      <c r="AW31" s="313">
        <f>IF(D31="V",AW30,(AW30+"07:36"))</f>
        <v>6.0166666666666639</v>
      </c>
      <c r="AX31" s="6" t="str">
        <f t="shared" si="20"/>
        <v>Do</v>
      </c>
      <c r="AY31" s="4">
        <f>IF((R39="O3")*AND(R40&lt;&gt;""),VLOOKUP(R40,Barema!$W$39:$X$65,2),)</f>
        <v>0</v>
      </c>
      <c r="AZ31" s="4" t="s">
        <v>23</v>
      </c>
      <c r="BA31" s="102"/>
    </row>
    <row r="32" spans="1:53" s="378" customFormat="1" x14ac:dyDescent="0.2">
      <c r="A32" s="309"/>
      <c r="B32" s="6" t="s">
        <v>169</v>
      </c>
      <c r="C32" s="311" t="s">
        <v>407</v>
      </c>
      <c r="D32" s="312"/>
      <c r="E32" s="414"/>
      <c r="F32" s="274"/>
      <c r="G32" s="274"/>
      <c r="H32" s="310"/>
      <c r="I32" s="310"/>
      <c r="J32" s="336"/>
      <c r="K32" s="336"/>
      <c r="L32" s="313">
        <f>(G32-F32)+(I32-H32)+(K32-J32)+AI32+AN32</f>
        <v>0</v>
      </c>
      <c r="M32" s="313">
        <f t="shared" si="29"/>
        <v>1.2666666666666666</v>
      </c>
      <c r="N32" s="338">
        <f>IF(Mei!$H$48="x",AU32+Mei!$N$37,AU32)</f>
        <v>12.983333333333327</v>
      </c>
      <c r="O32" s="337" t="str">
        <f t="shared" si="21"/>
        <v>-</v>
      </c>
      <c r="P32" s="339">
        <f t="shared" si="22"/>
        <v>11.716666666666661</v>
      </c>
      <c r="Q32" s="312">
        <f t="shared" si="0"/>
        <v>0</v>
      </c>
      <c r="R32" s="312">
        <f t="shared" si="1"/>
        <v>0</v>
      </c>
      <c r="S32" s="312">
        <f t="shared" si="2"/>
        <v>0</v>
      </c>
      <c r="T32" s="312">
        <f t="shared" si="3"/>
        <v>0</v>
      </c>
      <c r="U32" s="313">
        <f>IF(D32="F",L32,0)</f>
        <v>0</v>
      </c>
      <c r="V32" s="313">
        <f t="shared" si="23"/>
        <v>0</v>
      </c>
      <c r="W32" s="313">
        <f t="shared" si="24"/>
        <v>0</v>
      </c>
      <c r="X32" s="312"/>
      <c r="Y32" s="310"/>
      <c r="Z32" s="310"/>
      <c r="AA32" s="315">
        <f t="shared" si="4"/>
        <v>0</v>
      </c>
      <c r="AB32" s="315">
        <f t="shared" si="5"/>
        <v>0</v>
      </c>
      <c r="AC32" s="315">
        <f t="shared" si="25"/>
        <v>0</v>
      </c>
      <c r="AD32" s="315">
        <f t="shared" si="6"/>
        <v>0</v>
      </c>
      <c r="AE32" s="316">
        <f t="shared" si="26"/>
        <v>0</v>
      </c>
      <c r="AF32" s="315">
        <f t="shared" si="27"/>
        <v>0</v>
      </c>
      <c r="AG32" s="316">
        <f t="shared" si="28"/>
        <v>0</v>
      </c>
      <c r="AH32" s="315">
        <f t="shared" si="7"/>
        <v>0</v>
      </c>
      <c r="AI32" s="123">
        <f>IF((D32&lt;&gt;""),VLOOKUP(D32,Data!$E$36:$H$53,4),)</f>
        <v>0</v>
      </c>
      <c r="AJ32" s="123">
        <f t="shared" si="8"/>
        <v>0</v>
      </c>
      <c r="AK32" s="4">
        <f t="shared" si="9"/>
        <v>0</v>
      </c>
      <c r="AL32" s="4">
        <f t="shared" si="10"/>
        <v>0</v>
      </c>
      <c r="AM32" s="1">
        <f t="shared" si="11"/>
        <v>0</v>
      </c>
      <c r="AN32" s="123">
        <f t="shared" si="12"/>
        <v>0</v>
      </c>
      <c r="AO32" s="317">
        <f t="shared" si="13"/>
        <v>0</v>
      </c>
      <c r="AP32" s="317">
        <f t="shared" si="14"/>
        <v>0</v>
      </c>
      <c r="AQ32" s="317">
        <f t="shared" si="15"/>
        <v>0</v>
      </c>
      <c r="AR32" s="317">
        <f t="shared" si="16"/>
        <v>0</v>
      </c>
      <c r="AS32" s="4">
        <f t="shared" si="17"/>
        <v>0</v>
      </c>
      <c r="AT32" s="4">
        <f t="shared" si="18"/>
        <v>0</v>
      </c>
      <c r="AU32" s="313">
        <f>IF(Data!$H$8="x",AV32,AW32)</f>
        <v>6.3333333333333304</v>
      </c>
      <c r="AV32" s="313">
        <f t="shared" si="19"/>
        <v>3.1666666666666652</v>
      </c>
      <c r="AW32" s="313">
        <f>IF(D32="V",AW31,(AW31+"07:36"))</f>
        <v>6.3333333333333304</v>
      </c>
      <c r="AX32" s="6" t="str">
        <f t="shared" si="20"/>
        <v>Vr</v>
      </c>
      <c r="AY32" s="4">
        <f>IF((R39="O3ir")*AND(R40&lt;&gt;""),VLOOKUP(R40,Barema!$AU$39:$AV$65,2),)</f>
        <v>0</v>
      </c>
      <c r="AZ32" s="4" t="s">
        <v>31</v>
      </c>
      <c r="BA32" s="102"/>
    </row>
    <row r="33" spans="1:54" s="376" customFormat="1" x14ac:dyDescent="0.2">
      <c r="A33" s="374"/>
      <c r="B33" s="362" t="s">
        <v>171</v>
      </c>
      <c r="C33" s="363" t="s">
        <v>408</v>
      </c>
      <c r="D33" s="364"/>
      <c r="E33" s="364"/>
      <c r="F33" s="365"/>
      <c r="G33" s="365"/>
      <c r="H33" s="365"/>
      <c r="I33" s="365"/>
      <c r="J33" s="375"/>
      <c r="K33" s="375"/>
      <c r="L33" s="366">
        <f>(G33-F33)+(I33-H33)+(K33-J33)</f>
        <v>0</v>
      </c>
      <c r="M33" s="366">
        <f t="shared" si="29"/>
        <v>1.2666666666666666</v>
      </c>
      <c r="N33" s="382">
        <f>IF(Mei!$H$48="x",AU33+Mei!$N$37,AU33)</f>
        <v>12.983333333333327</v>
      </c>
      <c r="O33" s="377" t="str">
        <f t="shared" si="21"/>
        <v>-</v>
      </c>
      <c r="P33" s="383">
        <f t="shared" si="22"/>
        <v>11.716666666666661</v>
      </c>
      <c r="Q33" s="364">
        <f t="shared" si="0"/>
        <v>0</v>
      </c>
      <c r="R33" s="364">
        <f t="shared" si="1"/>
        <v>0</v>
      </c>
      <c r="S33" s="364">
        <f t="shared" si="2"/>
        <v>0</v>
      </c>
      <c r="T33" s="364">
        <f t="shared" si="3"/>
        <v>0</v>
      </c>
      <c r="U33" s="366">
        <f>L33</f>
        <v>0</v>
      </c>
      <c r="V33" s="366">
        <f t="shared" si="23"/>
        <v>0</v>
      </c>
      <c r="W33" s="366">
        <f t="shared" si="24"/>
        <v>0</v>
      </c>
      <c r="X33" s="364"/>
      <c r="Y33" s="365"/>
      <c r="Z33" s="365"/>
      <c r="AA33" s="368">
        <f t="shared" si="4"/>
        <v>0</v>
      </c>
      <c r="AB33" s="368">
        <f t="shared" si="5"/>
        <v>0</v>
      </c>
      <c r="AC33" s="368">
        <f t="shared" si="25"/>
        <v>0</v>
      </c>
      <c r="AD33" s="368">
        <f t="shared" si="6"/>
        <v>0</v>
      </c>
      <c r="AE33" s="369">
        <f t="shared" si="26"/>
        <v>0</v>
      </c>
      <c r="AF33" s="368">
        <f t="shared" si="27"/>
        <v>0</v>
      </c>
      <c r="AG33" s="369">
        <f t="shared" si="28"/>
        <v>0</v>
      </c>
      <c r="AH33" s="368">
        <f t="shared" si="7"/>
        <v>0</v>
      </c>
      <c r="AI33" s="370">
        <f>IF((D33&lt;&gt;""),VLOOKUP(D33,Data!$E$36:$H$53,4),)</f>
        <v>0</v>
      </c>
      <c r="AJ33" s="370">
        <f t="shared" si="8"/>
        <v>0</v>
      </c>
      <c r="AK33" s="371">
        <f t="shared" si="9"/>
        <v>0</v>
      </c>
      <c r="AL33" s="371">
        <f t="shared" si="10"/>
        <v>0</v>
      </c>
      <c r="AM33" s="372">
        <f t="shared" si="11"/>
        <v>0</v>
      </c>
      <c r="AN33" s="370">
        <f t="shared" si="12"/>
        <v>0</v>
      </c>
      <c r="AO33" s="373">
        <f t="shared" si="13"/>
        <v>0</v>
      </c>
      <c r="AP33" s="373">
        <f t="shared" si="14"/>
        <v>0</v>
      </c>
      <c r="AQ33" s="373">
        <f t="shared" si="15"/>
        <v>0</v>
      </c>
      <c r="AR33" s="373">
        <f t="shared" si="16"/>
        <v>0</v>
      </c>
      <c r="AS33" s="371">
        <f t="shared" si="17"/>
        <v>0</v>
      </c>
      <c r="AT33" s="371">
        <f t="shared" si="18"/>
        <v>0</v>
      </c>
      <c r="AU33" s="366">
        <f>IF(Data!$H$8="x",AV33,AW33)</f>
        <v>6.3333333333333304</v>
      </c>
      <c r="AV33" s="366">
        <f t="shared" si="19"/>
        <v>3.1666666666666652</v>
      </c>
      <c r="AW33" s="366">
        <f>AW32</f>
        <v>6.3333333333333304</v>
      </c>
      <c r="AX33" s="362" t="str">
        <f t="shared" si="20"/>
        <v>Za</v>
      </c>
      <c r="AY33" s="371">
        <f>IF((R39="O4")*AND(R40&lt;&gt;""),VLOOKUP(R40,Barema!$Z$39:$AA$65,2),)</f>
        <v>0</v>
      </c>
      <c r="AZ33" s="371" t="s">
        <v>24</v>
      </c>
      <c r="BA33" s="439"/>
    </row>
    <row r="34" spans="1:54" s="376" customFormat="1" x14ac:dyDescent="0.2">
      <c r="A34" s="374"/>
      <c r="B34" s="362" t="s">
        <v>173</v>
      </c>
      <c r="C34" s="363" t="s">
        <v>409</v>
      </c>
      <c r="D34" s="364"/>
      <c r="E34" s="403"/>
      <c r="F34" s="365"/>
      <c r="G34" s="365"/>
      <c r="H34" s="365"/>
      <c r="I34" s="365"/>
      <c r="J34" s="375"/>
      <c r="K34" s="375"/>
      <c r="L34" s="366">
        <f>(G34-F34)+(I34-H34)+(K34-J34)</f>
        <v>0</v>
      </c>
      <c r="M34" s="366">
        <f t="shared" si="29"/>
        <v>1.2666666666666666</v>
      </c>
      <c r="N34" s="382">
        <f>IF(Mei!$H$48="x",AU34+Mei!$N$37,AU34)</f>
        <v>12.983333333333327</v>
      </c>
      <c r="O34" s="377" t="str">
        <f t="shared" si="21"/>
        <v>-</v>
      </c>
      <c r="P34" s="383">
        <f t="shared" si="22"/>
        <v>11.716666666666661</v>
      </c>
      <c r="Q34" s="364">
        <f t="shared" si="0"/>
        <v>0</v>
      </c>
      <c r="R34" s="364">
        <f t="shared" si="1"/>
        <v>0</v>
      </c>
      <c r="S34" s="364">
        <f t="shared" si="2"/>
        <v>0</v>
      </c>
      <c r="T34" s="364">
        <f t="shared" si="3"/>
        <v>0</v>
      </c>
      <c r="U34" s="366">
        <f>L34</f>
        <v>0</v>
      </c>
      <c r="V34" s="366">
        <f t="shared" si="23"/>
        <v>0</v>
      </c>
      <c r="W34" s="366">
        <f t="shared" si="24"/>
        <v>0</v>
      </c>
      <c r="X34" s="364"/>
      <c r="Y34" s="365"/>
      <c r="Z34" s="365"/>
      <c r="AA34" s="368">
        <f t="shared" si="4"/>
        <v>0</v>
      </c>
      <c r="AB34" s="368">
        <f t="shared" si="5"/>
        <v>0</v>
      </c>
      <c r="AC34" s="368">
        <f t="shared" si="25"/>
        <v>0</v>
      </c>
      <c r="AD34" s="368">
        <f t="shared" si="6"/>
        <v>0</v>
      </c>
      <c r="AE34" s="369">
        <f t="shared" si="26"/>
        <v>0</v>
      </c>
      <c r="AF34" s="368">
        <f t="shared" si="27"/>
        <v>0</v>
      </c>
      <c r="AG34" s="369">
        <f t="shared" si="28"/>
        <v>0</v>
      </c>
      <c r="AH34" s="368">
        <f t="shared" si="7"/>
        <v>0</v>
      </c>
      <c r="AI34" s="370">
        <f>IF((D34&lt;&gt;""),VLOOKUP(D34,Data!$E$36:$H$53,4),)</f>
        <v>0</v>
      </c>
      <c r="AJ34" s="370">
        <f t="shared" si="8"/>
        <v>0</v>
      </c>
      <c r="AK34" s="371">
        <f t="shared" si="9"/>
        <v>0</v>
      </c>
      <c r="AL34" s="371">
        <f t="shared" si="10"/>
        <v>0</v>
      </c>
      <c r="AM34" s="372">
        <f t="shared" si="11"/>
        <v>0</v>
      </c>
      <c r="AN34" s="370">
        <f t="shared" si="12"/>
        <v>0</v>
      </c>
      <c r="AO34" s="373">
        <f t="shared" si="13"/>
        <v>0</v>
      </c>
      <c r="AP34" s="373">
        <f t="shared" si="14"/>
        <v>0</v>
      </c>
      <c r="AQ34" s="373">
        <f t="shared" si="15"/>
        <v>0</v>
      </c>
      <c r="AR34" s="373">
        <f t="shared" si="16"/>
        <v>0</v>
      </c>
      <c r="AS34" s="371">
        <f t="shared" si="17"/>
        <v>0</v>
      </c>
      <c r="AT34" s="371">
        <f t="shared" si="18"/>
        <v>0</v>
      </c>
      <c r="AU34" s="366">
        <f>IF(Data!$H$8="x",AV34,AW34)</f>
        <v>6.3333333333333304</v>
      </c>
      <c r="AV34" s="366">
        <f t="shared" si="19"/>
        <v>3.1666666666666652</v>
      </c>
      <c r="AW34" s="366">
        <f>AW33</f>
        <v>6.3333333333333304</v>
      </c>
      <c r="AX34" s="362" t="str">
        <f t="shared" si="20"/>
        <v>Zo</v>
      </c>
      <c r="AY34" s="371">
        <f>IF((R39="O4bis")*AND(R40&lt;&gt;""),VLOOKUP(R40,Barema!$BG$39:$BH$65,2),)</f>
        <v>0</v>
      </c>
      <c r="AZ34" s="371" t="s">
        <v>35</v>
      </c>
      <c r="BA34" s="439"/>
    </row>
    <row r="35" spans="1:54" s="378" customFormat="1" x14ac:dyDescent="0.2">
      <c r="A35" s="309"/>
      <c r="B35" s="6" t="s">
        <v>175</v>
      </c>
      <c r="C35" s="311" t="s">
        <v>410</v>
      </c>
      <c r="D35" s="312"/>
      <c r="E35" s="312"/>
      <c r="F35" s="274"/>
      <c r="G35" s="274"/>
      <c r="H35" s="310"/>
      <c r="I35" s="310"/>
      <c r="J35" s="336"/>
      <c r="K35" s="336"/>
      <c r="L35" s="313">
        <f>(G35-F35)+(I35-H35)+(K35-J35)+AI35+AN35</f>
        <v>0</v>
      </c>
      <c r="M35" s="313">
        <f t="shared" si="29"/>
        <v>1.2666666666666666</v>
      </c>
      <c r="N35" s="338">
        <f>IF(Mei!$H$48="x",AU35+Mei!$N$37,AU35)</f>
        <v>13.299999999999994</v>
      </c>
      <c r="O35" s="337" t="str">
        <f t="shared" si="21"/>
        <v>-</v>
      </c>
      <c r="P35" s="339">
        <f t="shared" si="22"/>
        <v>12.033333333333328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13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5"/>
        <v>0</v>
      </c>
      <c r="AD35" s="315">
        <f t="shared" si="6"/>
        <v>0</v>
      </c>
      <c r="AE35" s="316">
        <f t="shared" si="26"/>
        <v>0</v>
      </c>
      <c r="AF35" s="315">
        <f t="shared" si="27"/>
        <v>0</v>
      </c>
      <c r="AG35" s="316">
        <f t="shared" si="28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Ma</v>
      </c>
      <c r="AY35" s="4">
        <f>IF((R39="O4bis-ir")*AND(R40&lt;&gt;""),VLOOKUP(R40,Barema!$AO$39:$AP$65,2),)</f>
        <v>0</v>
      </c>
      <c r="AZ35" s="4" t="s">
        <v>29</v>
      </c>
      <c r="BA35" s="102"/>
    </row>
    <row r="36" spans="1:54" s="335" customFormat="1" x14ac:dyDescent="0.2">
      <c r="A36" s="302"/>
      <c r="B36" s="6" t="s">
        <v>177</v>
      </c>
      <c r="C36" s="311" t="s">
        <v>411</v>
      </c>
      <c r="D36" s="312"/>
      <c r="E36" s="312"/>
      <c r="F36" s="274"/>
      <c r="G36" s="274"/>
      <c r="H36" s="310"/>
      <c r="I36" s="310"/>
      <c r="J36" s="336"/>
      <c r="K36" s="336"/>
      <c r="L36" s="313">
        <f>(G36-F36)+(I36-H36)+(K36-J36)+AI36+AN36</f>
        <v>0</v>
      </c>
      <c r="M36" s="313">
        <f t="shared" si="29"/>
        <v>1.2666666666666666</v>
      </c>
      <c r="N36" s="338">
        <f>IF(Mei!$H$48="x",AU36+Mei!$N$37,AU36)</f>
        <v>13.61666666666666</v>
      </c>
      <c r="O36" s="337" t="str">
        <f t="shared" si="21"/>
        <v>-</v>
      </c>
      <c r="P36" s="339">
        <f t="shared" si="22"/>
        <v>12.349999999999994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13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5"/>
        <v>0</v>
      </c>
      <c r="AD36" s="315">
        <f t="shared" si="6"/>
        <v>0</v>
      </c>
      <c r="AE36" s="316">
        <f t="shared" si="26"/>
        <v>0</v>
      </c>
      <c r="AF36" s="315">
        <f t="shared" si="27"/>
        <v>0</v>
      </c>
      <c r="AG36" s="316">
        <f t="shared" si="28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Di</v>
      </c>
      <c r="AY36" s="4">
        <f>IF((R39="O4ir")*AND(R40&lt;&gt;""),VLOOKUP(R40,Barema!$AX$39:$AY$65,2),)</f>
        <v>0</v>
      </c>
      <c r="AZ36" s="4" t="s">
        <v>32</v>
      </c>
      <c r="BA36" s="102"/>
      <c r="BB36"/>
    </row>
    <row r="37" spans="1:54" x14ac:dyDescent="0.2">
      <c r="AB37" s="123">
        <f t="shared" ref="AB37:AI37" si="30">SUM(AA7:AA36)</f>
        <v>0</v>
      </c>
      <c r="AC37" s="123">
        <f t="shared" si="30"/>
        <v>0</v>
      </c>
      <c r="AD37" s="123">
        <f t="shared" si="30"/>
        <v>0</v>
      </c>
      <c r="AE37" s="123">
        <f t="shared" si="30"/>
        <v>0</v>
      </c>
      <c r="AF37" s="123">
        <f t="shared" si="30"/>
        <v>0</v>
      </c>
      <c r="AG37" s="123">
        <f t="shared" si="30"/>
        <v>0</v>
      </c>
      <c r="AH37" s="123">
        <f t="shared" si="30"/>
        <v>0</v>
      </c>
      <c r="AI37" s="123">
        <f t="shared" si="30"/>
        <v>0</v>
      </c>
      <c r="AK37" s="123">
        <f>SUM(AJ7:AJ36)</f>
        <v>0</v>
      </c>
      <c r="AM37" s="4">
        <f>SUM(AL7:AL36)+AT38</f>
        <v>0</v>
      </c>
      <c r="AN37" s="1"/>
      <c r="AO37" s="4"/>
      <c r="AP37" s="4">
        <f>SUM(AO7:AO36)</f>
        <v>0</v>
      </c>
      <c r="AQ37" s="4">
        <f>SUM(AP7:AP36)</f>
        <v>0</v>
      </c>
      <c r="AR37" s="4">
        <f>SUM(AQ7:AQ36)</f>
        <v>0</v>
      </c>
      <c r="AS37" s="4">
        <f>SUM(AR7:AR36)</f>
        <v>0</v>
      </c>
      <c r="AT37" s="4"/>
      <c r="AU37" s="4"/>
      <c r="AV37" s="152"/>
      <c r="AW37" s="152"/>
      <c r="AY37" s="4">
        <f>IF((R39="O5")*AND(R40&lt;&gt;""),VLOOKUP(R40,Barema!$AC$39:$AD$65,2),)</f>
        <v>0</v>
      </c>
      <c r="AZ37" s="4" t="s">
        <v>25</v>
      </c>
      <c r="BB37" s="4"/>
    </row>
    <row r="38" spans="1:54" x14ac:dyDescent="0.2">
      <c r="C38" s="166" t="s">
        <v>92</v>
      </c>
      <c r="D38" s="24"/>
      <c r="E38" s="24"/>
      <c r="F38" s="24"/>
      <c r="G38" s="24"/>
      <c r="H38" s="24"/>
      <c r="W38" s="70"/>
      <c r="X38" s="70"/>
      <c r="Z38" s="74" t="s">
        <v>205</v>
      </c>
      <c r="AA38" s="260" t="s">
        <v>206</v>
      </c>
      <c r="AB38" s="123">
        <f t="shared" ref="AB38:AI38" si="31">IF((MINUTE(AB37)&gt;=30),(AB37+0.041666667),AB37)</f>
        <v>0</v>
      </c>
      <c r="AC38" s="123">
        <f t="shared" si="31"/>
        <v>0</v>
      </c>
      <c r="AD38" s="123">
        <f t="shared" si="31"/>
        <v>0</v>
      </c>
      <c r="AE38" s="123">
        <f t="shared" si="31"/>
        <v>0</v>
      </c>
      <c r="AF38" s="123">
        <f t="shared" si="31"/>
        <v>0</v>
      </c>
      <c r="AG38" s="123">
        <f t="shared" si="31"/>
        <v>0</v>
      </c>
      <c r="AH38" s="123">
        <f t="shared" si="31"/>
        <v>0</v>
      </c>
      <c r="AI38" s="123">
        <f t="shared" si="31"/>
        <v>0</v>
      </c>
      <c r="AK38" s="123">
        <f>IF((MINUTE(AK37)&gt;=30),(AK37+0.041666667),AK37)</f>
        <v>0</v>
      </c>
      <c r="AM38" s="62">
        <f>AM37*(6.7*AA39)</f>
        <v>0</v>
      </c>
      <c r="AN38" s="1">
        <f>SUM(AM6:AM36)</f>
        <v>0</v>
      </c>
      <c r="AO38" s="4"/>
      <c r="AP38" s="4"/>
      <c r="AQ38" s="4"/>
      <c r="AR38" s="4"/>
      <c r="AS38" s="4"/>
      <c r="AT38" s="4">
        <f>SUM(AS7:AS36)</f>
        <v>0</v>
      </c>
      <c r="AU38" s="4">
        <f>SUM(AT7:AT36)+AT38</f>
        <v>0</v>
      </c>
      <c r="AY38" s="4">
        <f>IF((R39="O5ir")*AND(R40&lt;&gt;""),VLOOKUP(R40,Barema!$BA$39:$BB$65,2),)</f>
        <v>0</v>
      </c>
      <c r="AZ38" s="4" t="s">
        <v>33</v>
      </c>
      <c r="BB38" s="4"/>
    </row>
    <row r="39" spans="1:54" x14ac:dyDescent="0.2">
      <c r="C39" s="42" t="s">
        <v>207</v>
      </c>
      <c r="D39" s="43"/>
      <c r="E39" s="43"/>
      <c r="F39" s="43"/>
      <c r="G39" s="44"/>
      <c r="H39" s="28">
        <f>Mei!$H$45</f>
        <v>36</v>
      </c>
      <c r="J39" s="9" t="s">
        <v>412</v>
      </c>
      <c r="K39" s="10"/>
      <c r="L39" s="11"/>
      <c r="M39" s="10"/>
      <c r="N39" s="10"/>
      <c r="O39" s="10"/>
      <c r="P39" s="11"/>
      <c r="Q39" s="11"/>
      <c r="R39" s="441" t="s">
        <v>22</v>
      </c>
      <c r="S39" s="442"/>
      <c r="T39" s="319" t="s">
        <v>696</v>
      </c>
      <c r="U39" s="320"/>
      <c r="V39" s="321"/>
      <c r="W39" s="107"/>
      <c r="X39" s="1"/>
      <c r="Z39" s="132">
        <v>2.1223000000000001</v>
      </c>
      <c r="AA39" s="261">
        <f>Z39</f>
        <v>2.1223000000000001</v>
      </c>
      <c r="AB39" s="123">
        <f t="shared" ref="AB39:AI39" si="32">IF(MINUTE(AB38)&gt;0,FLOOR(AB38,0.041666667),AB38)</f>
        <v>0</v>
      </c>
      <c r="AC39" s="123">
        <f t="shared" si="32"/>
        <v>0</v>
      </c>
      <c r="AD39" s="123">
        <f t="shared" si="32"/>
        <v>0</v>
      </c>
      <c r="AE39" s="123">
        <f t="shared" si="32"/>
        <v>0</v>
      </c>
      <c r="AF39" s="123">
        <f t="shared" si="32"/>
        <v>0</v>
      </c>
      <c r="AG39" s="123">
        <f t="shared" si="32"/>
        <v>0</v>
      </c>
      <c r="AH39" s="123">
        <f t="shared" si="32"/>
        <v>0</v>
      </c>
      <c r="AI39" s="123">
        <f t="shared" si="32"/>
        <v>0</v>
      </c>
      <c r="AK39" s="140">
        <f>IF(MINUTE(AK38)&gt;0,FLOOR(AK38,0.041666667),AK38)</f>
        <v>0</v>
      </c>
      <c r="AL39" s="4"/>
      <c r="AM39" s="4"/>
      <c r="AO39" s="4"/>
      <c r="AP39" s="4"/>
      <c r="AQ39" s="4"/>
      <c r="AR39" s="4"/>
      <c r="AS39" s="4"/>
      <c r="AT39" s="4"/>
      <c r="AU39" s="4"/>
      <c r="AY39" s="4">
        <f>IF((R39="O6")*AND(R40&lt;&gt;""),VLOOKUP(R40,Barema!$AF$39:$AG$65,2),)</f>
        <v>0</v>
      </c>
      <c r="AZ39" s="4" t="s">
        <v>26</v>
      </c>
      <c r="BB39" s="4"/>
    </row>
    <row r="40" spans="1:54" ht="13.5" thickBot="1" x14ac:dyDescent="0.25">
      <c r="C40" s="42" t="s">
        <v>210</v>
      </c>
      <c r="D40" s="43"/>
      <c r="E40" s="43"/>
      <c r="F40" s="43"/>
      <c r="G40" s="144" t="s">
        <v>211</v>
      </c>
      <c r="H40" s="81">
        <v>0</v>
      </c>
      <c r="J40" s="12" t="s">
        <v>665</v>
      </c>
      <c r="K40" s="13"/>
      <c r="L40" s="14"/>
      <c r="M40" s="13"/>
      <c r="N40" s="13"/>
      <c r="O40" s="13"/>
      <c r="P40" s="14"/>
      <c r="Q40" s="14"/>
      <c r="R40" s="443">
        <v>29</v>
      </c>
      <c r="S40" s="444"/>
      <c r="T40" s="328">
        <f>AY55</f>
        <v>36448.949999999997</v>
      </c>
      <c r="U40" s="330"/>
      <c r="V40" s="331"/>
      <c r="W40" s="318"/>
      <c r="X40" s="318"/>
      <c r="Z40" s="1"/>
      <c r="AA40" s="1"/>
      <c r="AB40" s="4">
        <f>COUNTIF(AK7:AK36,"1")</f>
        <v>0</v>
      </c>
      <c r="AG40" s="88"/>
      <c r="AH40" s="10" t="s">
        <v>217</v>
      </c>
      <c r="AI40" s="10"/>
      <c r="AJ40" s="89"/>
      <c r="AK40" s="10" t="s">
        <v>219</v>
      </c>
      <c r="AL40" s="10"/>
      <c r="AM40" s="18"/>
      <c r="AN40" s="89"/>
      <c r="AP40" s="4"/>
      <c r="AQ40" s="4"/>
      <c r="AR40" s="4"/>
      <c r="AS40" s="4"/>
      <c r="AT40" s="4"/>
      <c r="AU40" s="4"/>
      <c r="AY40" s="4">
        <f>IF((R39="O6ir")*AND(R40&lt;&gt;""),VLOOKUP(R40,Barema!$BD$39:$BE$65,2),)</f>
        <v>0</v>
      </c>
      <c r="AZ40" s="4" t="s">
        <v>34</v>
      </c>
      <c r="BB40" s="4"/>
    </row>
    <row r="41" spans="1:54" ht="13.5" thickTop="1" x14ac:dyDescent="0.2">
      <c r="C41" s="308" t="s">
        <v>695</v>
      </c>
      <c r="D41" s="146"/>
      <c r="E41" s="146"/>
      <c r="F41" s="100"/>
      <c r="G41" s="147" t="s">
        <v>211</v>
      </c>
      <c r="H41" s="79">
        <f>AN38</f>
        <v>0</v>
      </c>
      <c r="I41" s="32"/>
      <c r="J41" s="15" t="s">
        <v>213</v>
      </c>
      <c r="K41" s="4"/>
      <c r="L41" s="63"/>
      <c r="M41" s="275">
        <f>AK39</f>
        <v>0</v>
      </c>
      <c r="N41" s="4" t="s">
        <v>214</v>
      </c>
      <c r="O41" s="54"/>
      <c r="P41" s="1"/>
      <c r="Q41" s="1"/>
      <c r="R41" s="19"/>
      <c r="S41" s="4"/>
      <c r="T41" s="54"/>
      <c r="U41" s="325">
        <f>(M41*AK42/0.041666667)</f>
        <v>0</v>
      </c>
      <c r="V41" s="19" t="s">
        <v>215</v>
      </c>
      <c r="W41" s="106"/>
      <c r="X41" s="1"/>
      <c r="Y41" s="134" t="s">
        <v>216</v>
      </c>
      <c r="Z41" s="135"/>
      <c r="AB41" s="4">
        <f>COUNTIF(AK7:AK36,"2")</f>
        <v>0</v>
      </c>
      <c r="AC41" s="4">
        <v>0.625</v>
      </c>
      <c r="AD41" s="8" t="s">
        <v>347</v>
      </c>
      <c r="AG41" s="15"/>
      <c r="AH41" s="4">
        <f>X40*1.2434/1850</f>
        <v>0</v>
      </c>
      <c r="AI41" s="4"/>
      <c r="AJ41" s="33"/>
      <c r="AK41" s="4">
        <f>T40*AA39/1850</f>
        <v>41.813841397297296</v>
      </c>
      <c r="AL41" s="4" t="s">
        <v>218</v>
      </c>
      <c r="AN41" s="33"/>
      <c r="AP41" s="4"/>
      <c r="AQ41" s="4"/>
      <c r="AR41" s="4"/>
      <c r="AS41" s="4"/>
      <c r="AT41" s="4"/>
      <c r="AU41" s="4"/>
      <c r="AY41" s="4">
        <f>IF((R39="O7")*AND(R40&lt;&gt;""),VLOOKUP(R40,Barema!$AI$39:$AJ$68,2),)</f>
        <v>0</v>
      </c>
      <c r="AZ41" s="4" t="s">
        <v>27</v>
      </c>
      <c r="BB41" s="2"/>
    </row>
    <row r="42" spans="1:54" x14ac:dyDescent="0.2">
      <c r="C42" s="42" t="s">
        <v>220</v>
      </c>
      <c r="D42" s="43"/>
      <c r="E42" s="43"/>
      <c r="F42" s="43"/>
      <c r="G42" s="144" t="s">
        <v>221</v>
      </c>
      <c r="H42" s="28">
        <f>AB40+(AB41/2)+(AB42/2)</f>
        <v>0</v>
      </c>
      <c r="J42" s="15" t="s">
        <v>224</v>
      </c>
      <c r="M42" s="141">
        <f>AF39</f>
        <v>0</v>
      </c>
      <c r="N42" s="4" t="s">
        <v>214</v>
      </c>
      <c r="O42" s="4"/>
      <c r="P42" s="4"/>
      <c r="Q42" s="4"/>
      <c r="R42" s="4"/>
      <c r="S42" s="15"/>
      <c r="T42" s="54"/>
      <c r="U42" s="325">
        <f>(M42*AK50/0.041666667)</f>
        <v>0</v>
      </c>
      <c r="V42" s="19" t="s">
        <v>215</v>
      </c>
      <c r="W42" s="106"/>
      <c r="X42" s="1"/>
      <c r="Y42" s="136" t="s">
        <v>222</v>
      </c>
      <c r="Z42" s="137"/>
      <c r="AB42" s="4">
        <f>COUNTIF(AK7:AK36,"7")</f>
        <v>0</v>
      </c>
      <c r="AF42" s="4" t="e">
        <f>M44*78</f>
        <v>#VALUE!</v>
      </c>
      <c r="AG42" s="198" t="s">
        <v>122</v>
      </c>
      <c r="AH42" s="4">
        <f>AH41*0.9645*AK48/100*1.45</f>
        <v>0</v>
      </c>
      <c r="AI42" s="4"/>
      <c r="AJ42" s="33"/>
      <c r="AK42" s="131">
        <f>(AK41*0.9645)*AK48/100</f>
        <v>18.753194262877358</v>
      </c>
      <c r="AL42" s="17" t="s">
        <v>223</v>
      </c>
      <c r="AM42" s="39"/>
      <c r="AN42" s="40"/>
      <c r="AP42" s="4"/>
      <c r="AQ42" s="4"/>
      <c r="AR42" s="4"/>
      <c r="AS42" s="4"/>
      <c r="AT42" s="4"/>
      <c r="AU42" s="4"/>
      <c r="AY42" s="4">
        <f>IF((R39="O8")*AND(R40&lt;&gt;""),VLOOKUP(R40,Barema!$AL$39:$AM$68,2),)</f>
        <v>0</v>
      </c>
      <c r="AZ42" s="4" t="s">
        <v>28</v>
      </c>
      <c r="BB42" s="2"/>
    </row>
    <row r="43" spans="1:54" x14ac:dyDescent="0.2">
      <c r="C43" s="45"/>
      <c r="D43" s="46"/>
      <c r="E43" s="46"/>
      <c r="F43" s="46"/>
      <c r="G43" s="47"/>
      <c r="H43" s="51"/>
      <c r="J43" s="15" t="s">
        <v>228</v>
      </c>
      <c r="M43" s="141">
        <f>AG39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9">
        <f>AK47</f>
        <v>53.5</v>
      </c>
      <c r="Z43" s="138"/>
      <c r="AB43" s="4" t="s">
        <v>348</v>
      </c>
      <c r="AC43" s="4"/>
      <c r="AF43" s="4" t="e">
        <f>M45*23</f>
        <v>#VALUE!</v>
      </c>
      <c r="AG43" s="15" t="s">
        <v>225</v>
      </c>
      <c r="AH43" s="4">
        <f>(W40*1.2434/1850)*0.009645*AK48</f>
        <v>0</v>
      </c>
      <c r="AI43" s="4"/>
      <c r="AJ43" s="33"/>
      <c r="AK43" s="4">
        <v>1.24</v>
      </c>
      <c r="AL43" s="4" t="s">
        <v>226</v>
      </c>
      <c r="AP43" s="4"/>
      <c r="AQ43" s="4"/>
      <c r="AR43" s="4"/>
      <c r="AS43" s="4"/>
      <c r="AT43" s="4"/>
      <c r="AU43" s="4"/>
      <c r="AY43" s="17">
        <f>IF((R39="HAU4")*AND(R40&lt;&gt;""),VLOOKUP(R40,Barema!$BJ$39:$BK$65,2),)</f>
        <v>0</v>
      </c>
      <c r="AZ43" s="17" t="s">
        <v>705</v>
      </c>
      <c r="BB43" s="2"/>
    </row>
    <row r="44" spans="1:54" x14ac:dyDescent="0.2">
      <c r="C44" s="48" t="s">
        <v>227</v>
      </c>
      <c r="D44" s="49"/>
      <c r="E44" s="49"/>
      <c r="F44" s="49"/>
      <c r="G44" s="50"/>
      <c r="H44" s="52">
        <f>H39-H42+H40+H41</f>
        <v>36</v>
      </c>
      <c r="J44" s="15" t="str">
        <f>IF(Jan!AH49=2,"Middagmaal","")</f>
        <v/>
      </c>
      <c r="K44" s="4"/>
      <c r="L44" s="1"/>
      <c r="M44" s="65" t="str">
        <f>IF(Jan!AH49=2,COUNTIF(Q7:Q36,"1"),"")</f>
        <v/>
      </c>
      <c r="N44" s="4"/>
      <c r="O44" s="4"/>
      <c r="P44" s="1"/>
      <c r="Q44" s="1"/>
      <c r="R44" s="19"/>
      <c r="S44" s="4"/>
      <c r="T44" s="54"/>
      <c r="U44" s="325" t="str">
        <f>IF(Jan!AH49=2,(M44*AK44*AA39+(R44*AA39*6.2)),"")</f>
        <v/>
      </c>
      <c r="V44" s="19" t="str">
        <f>IF(Jan!AH49=2,"€","")</f>
        <v/>
      </c>
      <c r="W44" s="106"/>
      <c r="X44" s="1"/>
      <c r="Y44" s="1"/>
      <c r="Z44" s="1"/>
      <c r="AA44" s="1"/>
      <c r="AB44" s="4">
        <f>IF((M36-N36-U4)&gt;0,(M36-N36-U4-G54),)</f>
        <v>0</v>
      </c>
      <c r="AC44" s="4">
        <f>IF((MINUTE(AB44)&gt;=30),(0.041666667),)</f>
        <v>0</v>
      </c>
      <c r="AD44" s="4">
        <f>AB44+AC44</f>
        <v>0</v>
      </c>
      <c r="AE44" s="4">
        <f>AD44</f>
        <v>0</v>
      </c>
      <c r="AG44" s="16"/>
      <c r="AH44" s="17"/>
      <c r="AI44" s="17"/>
      <c r="AJ44" s="40"/>
      <c r="AK44" s="4">
        <v>2.48</v>
      </c>
      <c r="AL44" s="4" t="s">
        <v>161</v>
      </c>
      <c r="AY44" s="17">
        <f>IF((R39="BAGP1")*AND(R40&lt;&gt;""),VLOOKUP(R40,Barema!$Q$5:$R$31,2),)</f>
        <v>0</v>
      </c>
      <c r="AZ44" s="17" t="s">
        <v>710</v>
      </c>
      <c r="BB44" s="2"/>
    </row>
    <row r="45" spans="1:54" x14ac:dyDescent="0.2">
      <c r="J45" s="15" t="str">
        <f>IF(Jan!AH49=2,"Avondmaal","")</f>
        <v/>
      </c>
      <c r="K45" s="4"/>
      <c r="L45" s="1"/>
      <c r="M45" s="65" t="str">
        <f>IF(Jan!AH49=2,COUNTIF(R7:R36,"1"),"")</f>
        <v/>
      </c>
      <c r="N45" s="4"/>
      <c r="O45" s="4"/>
      <c r="P45" s="1"/>
      <c r="Q45" s="1"/>
      <c r="R45" s="19"/>
      <c r="S45" s="4"/>
      <c r="T45" s="54"/>
      <c r="U45" s="325" t="str">
        <f>IF(Jan!AH49=2,(M45*AK45*AA39+(R45*AA39*6.2)),"")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/>
      <c r="AC45" s="4"/>
      <c r="AD45" s="4"/>
      <c r="AE45" s="4">
        <f>HOUR(AE44)</f>
        <v>0</v>
      </c>
      <c r="AG45" s="4"/>
      <c r="AH45" s="4"/>
      <c r="AI45" s="4"/>
      <c r="AK45" s="4">
        <v>2.48</v>
      </c>
      <c r="AL45" s="4" t="s">
        <v>162</v>
      </c>
      <c r="AY45" s="17">
        <f>IF((R39="BAGP2")*AND(R40&lt;&gt;""),VLOOKUP(R40,Barema!$T$5:$U$31,2),)</f>
        <v>0</v>
      </c>
      <c r="AZ45" s="4" t="s">
        <v>711</v>
      </c>
      <c r="BB45" s="2"/>
    </row>
    <row r="46" spans="1:54" x14ac:dyDescent="0.2">
      <c r="C46" s="166" t="s">
        <v>230</v>
      </c>
      <c r="F46" s="4"/>
      <c r="G46" s="74" t="s">
        <v>231</v>
      </c>
      <c r="H46" s="74" t="s">
        <v>232</v>
      </c>
      <c r="J46" s="15" t="str">
        <f>IF(Jan!AH49=2,"Nachtmaal","")</f>
        <v/>
      </c>
      <c r="K46" s="4"/>
      <c r="L46" s="104"/>
      <c r="M46" s="4" t="str">
        <f>IF(Jan!AH49=2,COUNTIF(S7:S36,"1"),"")</f>
        <v/>
      </c>
      <c r="N46" s="105"/>
      <c r="O46" s="4"/>
      <c r="P46" s="4"/>
      <c r="Q46" s="4"/>
      <c r="R46" s="19"/>
      <c r="S46" s="4"/>
      <c r="T46" s="80"/>
      <c r="U46" s="325" t="str">
        <f>IF(Jan!AH49=2,(M46*AK46*AA39+(R46*AA39*3.48)),"")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>
        <f>HOUR(AD44)*0.041666667</f>
        <v>0</v>
      </c>
      <c r="AD46" s="4"/>
      <c r="AG46" s="4"/>
      <c r="AH46" s="4"/>
      <c r="AI46" s="4"/>
      <c r="AK46" s="4">
        <v>1.74</v>
      </c>
      <c r="AL46" s="4" t="s">
        <v>233</v>
      </c>
      <c r="AY46" s="17">
        <f>IF((R39="BAGP3")*AND(R40&lt;&gt;""),VLOOKUP(R40,Barema!$W$5:$X$31,2),)</f>
        <v>0</v>
      </c>
      <c r="AZ46" s="4" t="s">
        <v>712</v>
      </c>
      <c r="BB46" s="2"/>
    </row>
    <row r="47" spans="1:54" x14ac:dyDescent="0.2">
      <c r="C47" s="24" t="s">
        <v>234</v>
      </c>
      <c r="G47" s="92" t="s">
        <v>109</v>
      </c>
      <c r="H47" s="92"/>
      <c r="J47" s="15" t="str">
        <f>IF(Jan!AH49=2,"Morgenmaal","")</f>
        <v/>
      </c>
      <c r="K47" s="4"/>
      <c r="L47" s="104"/>
      <c r="M47" s="4" t="str">
        <f>IF(Jan!AH49=2,COUNTIF(T7:T36,"1"),"")</f>
        <v/>
      </c>
      <c r="N47" s="105"/>
      <c r="O47" s="4"/>
      <c r="P47" s="4"/>
      <c r="Q47" s="4"/>
      <c r="R47" s="19"/>
      <c r="S47" s="4"/>
      <c r="T47" s="80"/>
      <c r="U47" s="325" t="str">
        <f>IF(Jan!AH49=2,(M47*AK43*AA39+(R47*AA39*2.48)),"")</f>
        <v/>
      </c>
      <c r="V47" s="19" t="str">
        <f>IF(Jan!AH49=2,"€","")</f>
        <v/>
      </c>
      <c r="W47" s="106"/>
      <c r="X47" s="1"/>
      <c r="AB47" s="4"/>
      <c r="AG47" s="4"/>
      <c r="AH47" s="4"/>
      <c r="AI47" s="4"/>
      <c r="AK47" s="4">
        <f>VLOOKUP(AS47,Data!$F$80:$H$91,3)</f>
        <v>53.5</v>
      </c>
      <c r="AL47" s="4" t="s">
        <v>235</v>
      </c>
      <c r="AP47" s="256">
        <f>T40*Z39</f>
        <v>77355.606585000001</v>
      </c>
      <c r="AQ47" s="2">
        <f>AP47*0.075</f>
        <v>5801.6704938749999</v>
      </c>
      <c r="AR47" s="2">
        <f>AP47*0.0355</f>
        <v>2746.1240337674999</v>
      </c>
      <c r="AS47" s="142">
        <f>AP47-AQ47-AR47</f>
        <v>68807.8120573575</v>
      </c>
      <c r="AY47" s="17">
        <f>IF((R39="BAGP4")*AND(R40&lt;&gt;""),VLOOKUP(R40,Barema!$BJ$39:$BK$65,2),)</f>
        <v>0</v>
      </c>
      <c r="AZ47" s="4" t="s">
        <v>713</v>
      </c>
      <c r="BB47" s="2"/>
    </row>
    <row r="48" spans="1:54" x14ac:dyDescent="0.2">
      <c r="J48" s="15" t="s">
        <v>238</v>
      </c>
      <c r="K48" s="4"/>
      <c r="L48" s="4"/>
      <c r="M48" s="141">
        <f>IF(AND(O36="+",G47="x",AB44&gt;=0),AB48,0)</f>
        <v>0</v>
      </c>
      <c r="N48" s="4" t="s">
        <v>214</v>
      </c>
      <c r="O48" s="54"/>
      <c r="P48" s="1"/>
      <c r="Q48" s="1"/>
      <c r="R48" s="19"/>
      <c r="S48" s="4"/>
      <c r="T48" s="54"/>
      <c r="U48" s="325">
        <f>(M48*AK42/0.041666667)</f>
        <v>0</v>
      </c>
      <c r="V48" s="19" t="s">
        <v>215</v>
      </c>
      <c r="W48" s="106"/>
      <c r="X48" s="1"/>
      <c r="AB48" s="4">
        <f>IF(MINUTE(AB44)&gt;0,FLOOR(AE44,0.041666667),AE44)</f>
        <v>0</v>
      </c>
      <c r="AF48" s="4"/>
      <c r="AG48" s="4"/>
      <c r="AH48" s="4"/>
      <c r="AI48" s="4"/>
      <c r="AK48" s="4">
        <f>100-AK47</f>
        <v>46.5</v>
      </c>
      <c r="AL48" s="4" t="s">
        <v>236</v>
      </c>
      <c r="AY48" s="17">
        <f>IF((R39="BASP1")*AND(R40&lt;&gt;""),VLOOKUP(R40,Barema!$BM$39:$BN$69,2),)</f>
        <v>0</v>
      </c>
      <c r="AZ48" s="4" t="s">
        <v>706</v>
      </c>
      <c r="BB48" s="2"/>
    </row>
    <row r="49" spans="3:54" x14ac:dyDescent="0.2">
      <c r="C49" s="4" t="s">
        <v>237</v>
      </c>
      <c r="F49" s="4"/>
      <c r="G49" s="4"/>
      <c r="J49" s="15" t="s">
        <v>240</v>
      </c>
      <c r="K49" s="4"/>
      <c r="L49" s="4"/>
      <c r="M49" s="118">
        <f>AM37</f>
        <v>0</v>
      </c>
      <c r="N49" s="4" t="s">
        <v>241</v>
      </c>
      <c r="O49" s="80"/>
      <c r="P49" s="1"/>
      <c r="Q49" s="1"/>
      <c r="R49" s="19"/>
      <c r="S49" s="4"/>
      <c r="T49" s="80"/>
      <c r="U49" s="325">
        <f>AM38</f>
        <v>0</v>
      </c>
      <c r="V49" s="19" t="s">
        <v>215</v>
      </c>
      <c r="W49" s="106"/>
      <c r="X49" s="1"/>
      <c r="AG49" s="4"/>
      <c r="AH49" s="4"/>
      <c r="AI49" s="4"/>
      <c r="AY49" s="17">
        <f>IF((R39="BASP2")*AND(R40&lt;&gt;""),VLOOKUP(R40,Barema!$BP$39:$BQ$69,2),)</f>
        <v>0</v>
      </c>
      <c r="AZ49" s="4" t="s">
        <v>707</v>
      </c>
      <c r="BB49" s="2"/>
    </row>
    <row r="50" spans="3:54" x14ac:dyDescent="0.2">
      <c r="C50" s="4" t="s">
        <v>239</v>
      </c>
      <c r="F50" s="4"/>
      <c r="G50" s="133">
        <v>0</v>
      </c>
      <c r="I50" s="4"/>
      <c r="J50" s="15" t="s">
        <v>244</v>
      </c>
      <c r="K50" s="1"/>
      <c r="L50" s="4"/>
      <c r="M50" s="65">
        <f>SUM(X7:X36)</f>
        <v>0</v>
      </c>
      <c r="N50" s="4" t="s">
        <v>245</v>
      </c>
      <c r="O50" s="4"/>
      <c r="P50" s="4"/>
      <c r="Q50" s="4"/>
      <c r="R50" s="4"/>
      <c r="S50" s="15"/>
      <c r="T50" s="120"/>
      <c r="U50" s="325">
        <f>(M50*Data!$S$13)</f>
        <v>0</v>
      </c>
      <c r="V50" s="19" t="s">
        <v>215</v>
      </c>
      <c r="W50" s="106"/>
      <c r="X50" s="1"/>
      <c r="AG50" s="4" t="s">
        <v>153</v>
      </c>
      <c r="AH50" s="4">
        <f>AH41*0.00325*0.9645*AK48</f>
        <v>0</v>
      </c>
      <c r="AI50" s="4"/>
      <c r="AK50" s="62">
        <f>AK42/100*20</f>
        <v>3.7506388525754715</v>
      </c>
      <c r="AL50" s="4" t="s">
        <v>242</v>
      </c>
      <c r="AY50" s="17">
        <f>IF((R39="BASP3")*AND(R40&lt;&gt;""),VLOOKUP(R40,Barema!$BS$39:$BT$69,2),)</f>
        <v>0</v>
      </c>
      <c r="AZ50" s="4" t="s">
        <v>708</v>
      </c>
      <c r="BB50" s="2"/>
    </row>
    <row r="51" spans="3:54" x14ac:dyDescent="0.2">
      <c r="C51" s="166" t="s">
        <v>243</v>
      </c>
      <c r="J51" s="15" t="s">
        <v>247</v>
      </c>
      <c r="K51" s="4"/>
      <c r="L51" s="4"/>
      <c r="M51" s="141">
        <f>AH53</f>
        <v>0</v>
      </c>
      <c r="N51" s="4" t="s">
        <v>214</v>
      </c>
      <c r="O51" s="4"/>
      <c r="P51" s="4"/>
      <c r="Q51" s="4"/>
      <c r="R51" s="4"/>
      <c r="S51" s="15"/>
      <c r="T51" s="80"/>
      <c r="U51" s="325">
        <f>(M51*AK53/0.041666667)</f>
        <v>0</v>
      </c>
      <c r="V51" s="19" t="s">
        <v>215</v>
      </c>
      <c r="W51" s="106"/>
      <c r="X51" s="1"/>
      <c r="AK51" s="62">
        <f>AK42/100*35</f>
        <v>6.5636179920070745</v>
      </c>
      <c r="AL51" s="4" t="s">
        <v>246</v>
      </c>
      <c r="AY51" s="17">
        <f>IF((R39="BASP4")*AND(R40&lt;&gt;""),VLOOKUP(R40,Barema!$BV$39:$BW$69,2),)</f>
        <v>0</v>
      </c>
      <c r="AZ51" s="4" t="s">
        <v>709</v>
      </c>
      <c r="BB51" s="2"/>
    </row>
    <row r="52" spans="3:54" x14ac:dyDescent="0.2">
      <c r="J52" s="15" t="s">
        <v>249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142"/>
      <c r="BB52" s="2"/>
    </row>
    <row r="53" spans="3:54" x14ac:dyDescent="0.2">
      <c r="C53" s="24" t="s">
        <v>248</v>
      </c>
      <c r="F53" s="4"/>
      <c r="G53" s="4"/>
      <c r="H53" s="4"/>
      <c r="J53" s="16" t="s">
        <v>250</v>
      </c>
      <c r="K53" s="17"/>
      <c r="L53" s="17"/>
      <c r="M53" s="203">
        <f>AU38</f>
        <v>0</v>
      </c>
      <c r="N53" s="17" t="s">
        <v>241</v>
      </c>
      <c r="O53" s="17"/>
      <c r="P53" s="17"/>
      <c r="Q53" s="17"/>
      <c r="R53" s="17"/>
      <c r="S53" s="16"/>
      <c r="T53" s="17"/>
      <c r="U53" s="326">
        <f>(M53*(2.81*AA39))/100*(100-Y43)</f>
        <v>0</v>
      </c>
      <c r="V53" s="20" t="s">
        <v>215</v>
      </c>
      <c r="W53" s="106"/>
      <c r="X53" s="1"/>
      <c r="AE53" s="199">
        <f>SUM(Y7:Y36)</f>
        <v>0</v>
      </c>
      <c r="AF53" s="10">
        <f>IF(MINUTE(AE53)&gt;=30,AE53+0.041666667,AE53)</f>
        <v>0</v>
      </c>
      <c r="AG53" s="10"/>
      <c r="AH53" s="10">
        <f>IF(MINUTE(AF53)&gt;0,FLOOR(AF53,0.041666667),AF53)</f>
        <v>0</v>
      </c>
      <c r="AI53" s="10"/>
      <c r="AJ53" s="10"/>
      <c r="AK53" s="130">
        <f>AK42/24</f>
        <v>0.78138309428655661</v>
      </c>
      <c r="AL53" s="10" t="s">
        <v>247</v>
      </c>
      <c r="AM53" s="10"/>
      <c r="AN53" s="10"/>
      <c r="AO53" s="10"/>
      <c r="AP53" s="86"/>
      <c r="BB53" s="2"/>
    </row>
    <row r="54" spans="3:54" x14ac:dyDescent="0.2">
      <c r="C54" s="24" t="s">
        <v>239</v>
      </c>
      <c r="F54" s="4"/>
      <c r="G54" s="121">
        <v>0</v>
      </c>
      <c r="H54" s="4"/>
      <c r="L54" s="70" t="s">
        <v>130</v>
      </c>
      <c r="M54" s="70"/>
      <c r="N54" s="16"/>
      <c r="O54" s="71"/>
      <c r="P54" s="64"/>
      <c r="Q54" s="64"/>
      <c r="R54" s="20"/>
      <c r="S54" s="17"/>
      <c r="T54" s="72"/>
      <c r="U54" s="326">
        <f>SUM(U41:U53)</f>
        <v>0</v>
      </c>
      <c r="V54" s="20" t="s">
        <v>215</v>
      </c>
      <c r="W54" s="106"/>
      <c r="X54" s="1"/>
      <c r="AE54" s="200">
        <f>SUM(Z7:Z36)</f>
        <v>0</v>
      </c>
      <c r="AF54" s="17">
        <f>IF(MINUTE(AE54)&gt;=30,AE54+0.041666667,AE54)</f>
        <v>0</v>
      </c>
      <c r="AG54" s="17"/>
      <c r="AH54" s="17">
        <f>IF(MINUTE(AF54)&gt;0,FLOOR(AF54,0.041666667),AF54)</f>
        <v>0</v>
      </c>
      <c r="AI54" s="17"/>
      <c r="AJ54" s="17"/>
      <c r="AK54" s="131">
        <f>AK42/15</f>
        <v>1.2502129508584905</v>
      </c>
      <c r="AL54" s="17" t="s">
        <v>251</v>
      </c>
      <c r="AM54" s="17"/>
      <c r="AN54" s="17"/>
      <c r="AO54" s="17"/>
      <c r="AP54" s="83"/>
      <c r="BB54" s="2"/>
    </row>
    <row r="55" spans="3:54" x14ac:dyDescent="0.2">
      <c r="C55" s="166" t="s">
        <v>243</v>
      </c>
      <c r="E55" s="4"/>
      <c r="F55" s="1"/>
      <c r="G55" s="4"/>
      <c r="H55" s="4"/>
      <c r="W55" s="106"/>
      <c r="X55" s="1"/>
      <c r="AY55" s="4">
        <f>SUM(AY7:AY53)</f>
        <v>36448.949999999997</v>
      </c>
      <c r="BB55" s="2"/>
    </row>
    <row r="59" spans="3:54" x14ac:dyDescent="0.2">
      <c r="J59" s="4"/>
      <c r="K59" s="4"/>
      <c r="L59" s="70"/>
      <c r="M59" s="70"/>
      <c r="N59" s="4"/>
      <c r="R59" s="4"/>
      <c r="S59" s="1"/>
      <c r="T59" s="1"/>
      <c r="U59" s="4"/>
      <c r="V59" s="4"/>
    </row>
    <row r="60" spans="3:54" x14ac:dyDescent="0.2">
      <c r="E60" s="4"/>
      <c r="F60" s="1"/>
      <c r="G60" s="4"/>
      <c r="H60" s="4"/>
      <c r="I60" s="4"/>
      <c r="J60" s="4"/>
      <c r="K60" s="4"/>
      <c r="L60" s="70"/>
      <c r="M60" s="70"/>
      <c r="N60" s="4"/>
      <c r="R60" s="4"/>
      <c r="S60" s="1"/>
      <c r="T60" s="1"/>
      <c r="U60" s="4"/>
      <c r="V60" s="4"/>
      <c r="W60" s="54"/>
      <c r="X60" s="2"/>
    </row>
    <row r="61" spans="3:54" x14ac:dyDescent="0.2">
      <c r="E61" s="4"/>
      <c r="F61" s="1"/>
      <c r="G61" s="4"/>
      <c r="H61" s="4"/>
      <c r="I61" s="4"/>
      <c r="W61" s="62"/>
      <c r="X61" s="4"/>
    </row>
  </sheetData>
  <sheetProtection algorithmName="SHA-512" hashValue="VoFH/wyNHs8jI568OEg6ElR5gwfyD2TOoaas52anC+0W3F30nmqMMiZWU57zULphovhglhdnvL0LJAOYHZIZEw==" saltValue="o1Bad2n/Vu/kghOTMHxWtA==" spinCount="100000" sheet="1" objects="1" scenarios="1"/>
  <mergeCells count="2">
    <mergeCell ref="R39:S39"/>
    <mergeCell ref="R40:S40"/>
  </mergeCells>
  <phoneticPr fontId="0" type="noConversion"/>
  <pageMargins left="0.39370078740157483" right="0.39370078740157483" top="0.39370078740157483" bottom="0.39370078740157483" header="0.51181102362204722" footer="0.51181102362204722"/>
  <pageSetup paperSize="9" scale="71" orientation="landscape" horizontalDpi="300" verticalDpi="300" r:id="rId1"/>
  <headerFooter alignWithMargins="0"/>
  <ignoredErrors>
    <ignoredError sqref="Q7:T36" unlockedFormula="1"/>
    <ignoredError xmlns:x16r3="http://schemas.microsoft.com/office/spreadsheetml/2018/08/main" sqref="M51:M52" x16r3:misleadingForma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>
    <pageSetUpPr fitToPage="1"/>
  </sheetPr>
  <dimension ref="A1:XFC63"/>
  <sheetViews>
    <sheetView showGridLines="0" showRowColHeaders="0" topLeftCell="B1" zoomScaleNormal="100" workbookViewId="0">
      <pane ySplit="6" topLeftCell="A7" activePane="bottomLeft" state="frozen"/>
      <selection activeCell="A7" sqref="A7"/>
      <selection pane="bottomLeft" activeCell="F7" sqref="F7"/>
    </sheetView>
  </sheetViews>
  <sheetFormatPr defaultColWidth="0" defaultRowHeight="12.75" x14ac:dyDescent="0.2"/>
  <cols>
    <col min="1" max="1" width="0.85546875" style="2" hidden="1" customWidth="1"/>
    <col min="2" max="2" width="3.140625" style="2" customWidth="1"/>
    <col min="3" max="3" width="5.7109375" style="2" customWidth="1"/>
    <col min="4" max="4" width="2.7109375" style="1" customWidth="1"/>
    <col min="5" max="5" width="3.5703125" style="1" customWidth="1"/>
    <col min="6" max="11" width="5.28515625" style="2" customWidth="1"/>
    <col min="12" max="12" width="4.85546875" style="2" customWidth="1"/>
    <col min="13" max="13" width="6.7109375" style="2" customWidth="1"/>
    <col min="14" max="14" width="5.7109375" style="2" customWidth="1"/>
    <col min="15" max="15" width="2.140625" style="2" customWidth="1"/>
    <col min="16" max="16" width="5.7109375" style="2" customWidth="1"/>
    <col min="17" max="20" width="3.7109375" style="2" customWidth="1"/>
    <col min="21" max="21" width="8.28515625" style="5" customWidth="1"/>
    <col min="22" max="22" width="8.140625" style="5" bestFit="1" customWidth="1"/>
    <col min="23" max="23" width="8.28515625" style="5" customWidth="1"/>
    <col min="24" max="25" width="5.7109375" style="5" customWidth="1"/>
    <col min="26" max="26" width="6.140625" style="5" bestFit="1" customWidth="1"/>
    <col min="27" max="27" width="5.85546875" style="5" hidden="1" customWidth="1"/>
    <col min="28" max="28" width="14" style="2" hidden="1" customWidth="1"/>
    <col min="29" max="29" width="5.28515625" style="2" hidden="1" customWidth="1"/>
    <col min="30" max="30" width="12" style="2" hidden="1" customWidth="1"/>
    <col min="31" max="33" width="5.140625" style="2" hidden="1" customWidth="1"/>
    <col min="34" max="34" width="9" style="2" hidden="1" customWidth="1"/>
    <col min="35" max="35" width="6.28515625" style="2" hidden="1" customWidth="1"/>
    <col min="36" max="36" width="5.7109375" style="2" hidden="1" customWidth="1"/>
    <col min="37" max="37" width="10.42578125" style="2" hidden="1" customWidth="1"/>
    <col min="38" max="38" width="21.140625" style="2" hidden="1" customWidth="1"/>
    <col min="39" max="39" width="9" style="2" hidden="1" customWidth="1"/>
    <col min="40" max="40" width="4.85546875" style="2" hidden="1" customWidth="1"/>
    <col min="41" max="41" width="6.140625" style="2" hidden="1" customWidth="1"/>
    <col min="42" max="42" width="8.5703125" style="2" hidden="1" customWidth="1"/>
    <col min="43" max="43" width="11" style="2" hidden="1" customWidth="1"/>
    <col min="44" max="44" width="12" style="2" hidden="1" customWidth="1"/>
    <col min="45" max="46" width="10.42578125" style="2" hidden="1" customWidth="1"/>
    <col min="47" max="47" width="7.7109375" style="2" hidden="1" customWidth="1"/>
    <col min="48" max="48" width="4.85546875" style="1" hidden="1" customWidth="1"/>
    <col min="49" max="49" width="6.42578125" style="1" hidden="1" customWidth="1"/>
    <col min="50" max="50" width="4" style="2" hidden="1" customWidth="1"/>
    <col min="51" max="51" width="5.28515625" style="2" hidden="1" customWidth="1"/>
    <col min="52" max="52" width="6.42578125" style="4" hidden="1" customWidth="1"/>
    <col min="53" max="53" width="34.28515625" style="4" customWidth="1"/>
    <col min="54" max="54" width="51.5703125" hidden="1" customWidth="1"/>
    <col min="55" max="16383" width="9.140625" hidden="1"/>
    <col min="16384" max="16384" width="0.42578125" hidden="1"/>
  </cols>
  <sheetData>
    <row r="1" spans="1:54" x14ac:dyDescent="0.2">
      <c r="C1" s="168"/>
      <c r="H1" s="170"/>
      <c r="X1" s="24"/>
      <c r="Y1" s="1"/>
      <c r="Z1" s="1"/>
      <c r="AA1" s="1"/>
      <c r="AD1" s="2">
        <v>0.29166666666666669</v>
      </c>
      <c r="AQ1" s="1" t="s">
        <v>105</v>
      </c>
      <c r="AR1" s="1" t="s">
        <v>106</v>
      </c>
      <c r="AS1" s="1" t="s">
        <v>107</v>
      </c>
      <c r="AT1" s="1" t="s">
        <v>108</v>
      </c>
      <c r="AU1" s="1"/>
      <c r="BB1" s="2"/>
    </row>
    <row r="2" spans="1:54" x14ac:dyDescent="0.2">
      <c r="C2" s="167"/>
      <c r="M2" s="101"/>
      <c r="N2" s="101"/>
      <c r="O2" s="101"/>
      <c r="P2" s="101"/>
      <c r="Q2" s="101"/>
      <c r="R2" s="101"/>
      <c r="S2" s="101"/>
      <c r="T2" s="101"/>
      <c r="U2" s="327"/>
      <c r="V2" s="327"/>
      <c r="X2" s="24"/>
      <c r="Y2" s="1"/>
      <c r="Z2" s="1"/>
      <c r="AA2" s="1"/>
      <c r="AC2" s="77"/>
      <c r="AD2" s="2">
        <v>0.25</v>
      </c>
      <c r="AF2" s="2">
        <f>IF(Z3="x",AD1,AD2)</f>
        <v>0.25</v>
      </c>
      <c r="AQ2" s="4">
        <v>0.25</v>
      </c>
      <c r="AR2" s="4">
        <v>0.5</v>
      </c>
      <c r="AS2" s="4">
        <v>0.75</v>
      </c>
      <c r="AT2" s="4">
        <v>0</v>
      </c>
      <c r="AU2" s="4"/>
      <c r="BB2" s="2"/>
    </row>
    <row r="3" spans="1:54" x14ac:dyDescent="0.2">
      <c r="C3" s="57"/>
      <c r="M3" s="101"/>
      <c r="N3" s="101"/>
      <c r="O3" s="101"/>
      <c r="P3" s="101"/>
      <c r="Q3" s="101"/>
      <c r="R3" s="101"/>
      <c r="S3" s="101"/>
      <c r="T3" s="101"/>
      <c r="U3" s="327"/>
      <c r="V3" s="327"/>
      <c r="X3" s="129"/>
      <c r="Y3" s="1"/>
      <c r="Z3" s="129"/>
      <c r="AA3" s="1"/>
      <c r="AD3" s="2">
        <v>0.79166666666666663</v>
      </c>
      <c r="AQ3" s="4">
        <v>0.33333333333333298</v>
      </c>
      <c r="AR3" s="4">
        <v>0.58333333333333304</v>
      </c>
      <c r="AS3" s="4">
        <v>0.83333333333333304</v>
      </c>
      <c r="AT3" s="4">
        <v>8.3333333333333301E-2</v>
      </c>
      <c r="AU3" s="4"/>
      <c r="BB3" s="2"/>
    </row>
    <row r="4" spans="1:54" x14ac:dyDescent="0.2">
      <c r="C4" s="195" t="str">
        <f>Data!E6</f>
        <v>Uurzakboekje 2026</v>
      </c>
      <c r="I4" s="4" t="s">
        <v>110</v>
      </c>
      <c r="J4" s="4"/>
      <c r="M4" s="259">
        <f>Jun!$G$54</f>
        <v>0</v>
      </c>
      <c r="P4" s="4" t="s">
        <v>111</v>
      </c>
      <c r="Q4" s="4"/>
      <c r="R4" s="4"/>
      <c r="S4" s="4"/>
      <c r="T4" s="4"/>
      <c r="U4" s="122">
        <f>IF(Jun!$H$47="x",Jun!$U$4,Jun!$G$50)</f>
        <v>0</v>
      </c>
      <c r="AV4" s="58"/>
      <c r="AW4" s="58" t="s">
        <v>112</v>
      </c>
      <c r="AX4" s="37">
        <v>0</v>
      </c>
      <c r="AY4" s="37"/>
      <c r="BB4" s="2"/>
    </row>
    <row r="5" spans="1:54" x14ac:dyDescent="0.2">
      <c r="B5" s="343"/>
      <c r="C5" s="348"/>
      <c r="D5" s="345" t="s">
        <v>114</v>
      </c>
      <c r="E5" s="356" t="s">
        <v>687</v>
      </c>
      <c r="F5" s="346" t="s">
        <v>116</v>
      </c>
      <c r="G5" s="347"/>
      <c r="H5" s="346" t="s">
        <v>116</v>
      </c>
      <c r="I5" s="347"/>
      <c r="J5" s="346" t="s">
        <v>116</v>
      </c>
      <c r="K5" s="347"/>
      <c r="L5" s="346" t="s">
        <v>117</v>
      </c>
      <c r="M5" s="347"/>
      <c r="N5" s="348" t="s">
        <v>118</v>
      </c>
      <c r="O5" s="349" t="s">
        <v>119</v>
      </c>
      <c r="P5" s="350"/>
      <c r="Q5" s="346" t="s">
        <v>120</v>
      </c>
      <c r="R5" s="351"/>
      <c r="S5" s="351"/>
      <c r="T5" s="347"/>
      <c r="U5" s="348" t="s">
        <v>122</v>
      </c>
      <c r="V5" s="353" t="s">
        <v>121</v>
      </c>
      <c r="W5" s="353" t="s">
        <v>121</v>
      </c>
      <c r="X5" s="348" t="s">
        <v>123</v>
      </c>
      <c r="Y5" s="348" t="s">
        <v>124</v>
      </c>
      <c r="Z5" s="348" t="s">
        <v>125</v>
      </c>
      <c r="AA5" s="7" t="s">
        <v>126</v>
      </c>
      <c r="AB5" s="7" t="s">
        <v>127</v>
      </c>
      <c r="AC5" s="7" t="s">
        <v>128</v>
      </c>
      <c r="AD5" s="7" t="s">
        <v>129</v>
      </c>
      <c r="AE5" s="7" t="s">
        <v>130</v>
      </c>
      <c r="AF5" s="7" t="s">
        <v>130</v>
      </c>
      <c r="AG5" s="7" t="s">
        <v>131</v>
      </c>
      <c r="AH5" s="7" t="s">
        <v>132</v>
      </c>
      <c r="AN5" s="4"/>
      <c r="AS5" s="4" t="s">
        <v>115</v>
      </c>
      <c r="AT5" s="4"/>
      <c r="AU5" s="149" t="s">
        <v>133</v>
      </c>
      <c r="AV5" s="149" t="s">
        <v>134</v>
      </c>
      <c r="AW5" s="58" t="s">
        <v>118</v>
      </c>
      <c r="AX5" s="172"/>
      <c r="AY5" s="4"/>
    </row>
    <row r="6" spans="1:54" x14ac:dyDescent="0.2">
      <c r="B6" s="354" t="s">
        <v>135</v>
      </c>
      <c r="C6" s="355" t="s">
        <v>136</v>
      </c>
      <c r="D6" s="355" t="s">
        <v>137</v>
      </c>
      <c r="E6" s="355" t="s">
        <v>138</v>
      </c>
      <c r="F6" s="356" t="s">
        <v>44</v>
      </c>
      <c r="G6" s="356" t="s">
        <v>139</v>
      </c>
      <c r="H6" s="355" t="s">
        <v>44</v>
      </c>
      <c r="I6" s="355" t="s">
        <v>139</v>
      </c>
      <c r="J6" s="355" t="s">
        <v>44</v>
      </c>
      <c r="K6" s="355" t="s">
        <v>139</v>
      </c>
      <c r="L6" s="355" t="s">
        <v>135</v>
      </c>
      <c r="M6" s="355" t="s">
        <v>130</v>
      </c>
      <c r="N6" s="355" t="s">
        <v>140</v>
      </c>
      <c r="O6" s="357" t="s">
        <v>141</v>
      </c>
      <c r="P6" s="358"/>
      <c r="Q6" s="356" t="s">
        <v>142</v>
      </c>
      <c r="R6" s="356" t="s">
        <v>143</v>
      </c>
      <c r="S6" s="356" t="s">
        <v>144</v>
      </c>
      <c r="T6" s="356" t="s">
        <v>145</v>
      </c>
      <c r="U6" s="355" t="s">
        <v>146</v>
      </c>
      <c r="V6" s="360" t="s">
        <v>147</v>
      </c>
      <c r="W6" s="360" t="s">
        <v>148</v>
      </c>
      <c r="X6" s="355" t="s">
        <v>149</v>
      </c>
      <c r="Y6" s="355" t="s">
        <v>150</v>
      </c>
      <c r="Z6" s="355" t="s">
        <v>151</v>
      </c>
      <c r="AA6" s="8" t="s">
        <v>152</v>
      </c>
      <c r="AB6" s="8" t="s">
        <v>152</v>
      </c>
      <c r="AC6" s="8" t="s">
        <v>130</v>
      </c>
      <c r="AD6" s="8" t="s">
        <v>153</v>
      </c>
      <c r="AE6" s="8" t="s">
        <v>147</v>
      </c>
      <c r="AF6" s="196" t="s">
        <v>148</v>
      </c>
      <c r="AG6" s="7" t="s">
        <v>130</v>
      </c>
      <c r="AH6" s="7" t="s">
        <v>154</v>
      </c>
      <c r="AI6" s="2" t="s">
        <v>155</v>
      </c>
      <c r="AJ6" s="4" t="s">
        <v>156</v>
      </c>
      <c r="AK6" s="24" t="s">
        <v>157</v>
      </c>
      <c r="AL6" s="1" t="s">
        <v>158</v>
      </c>
      <c r="AM6" s="1" t="s">
        <v>159</v>
      </c>
      <c r="AN6" s="1"/>
      <c r="AO6" s="4" t="s">
        <v>160</v>
      </c>
      <c r="AP6" s="4" t="s">
        <v>161</v>
      </c>
      <c r="AQ6" s="4" t="s">
        <v>162</v>
      </c>
      <c r="AR6" s="4" t="s">
        <v>163</v>
      </c>
      <c r="AS6" s="4" t="s">
        <v>158</v>
      </c>
      <c r="AT6" s="4" t="s">
        <v>115</v>
      </c>
      <c r="AU6" s="150" t="s">
        <v>164</v>
      </c>
      <c r="AV6" s="150" t="s">
        <v>165</v>
      </c>
      <c r="AW6" s="59" t="s">
        <v>140</v>
      </c>
      <c r="AX6" s="173"/>
      <c r="AY6" s="4"/>
      <c r="BA6" s="57" t="s">
        <v>166</v>
      </c>
    </row>
    <row r="7" spans="1:54" s="378" customFormat="1" x14ac:dyDescent="0.2">
      <c r="A7" s="309"/>
      <c r="B7" s="6" t="s">
        <v>179</v>
      </c>
      <c r="C7" s="311" t="s">
        <v>413</v>
      </c>
      <c r="D7" s="312"/>
      <c r="E7" s="312"/>
      <c r="F7" s="274"/>
      <c r="G7" s="274"/>
      <c r="H7" s="310"/>
      <c r="I7" s="310"/>
      <c r="J7" s="417"/>
      <c r="K7" s="417"/>
      <c r="L7" s="313">
        <f>(G7-F7)+(I7-H7)+(K7-J7)+AI7+AN7</f>
        <v>0</v>
      </c>
      <c r="M7" s="313">
        <f>IF(Jun!H47="x",(L7+Jun!M36)+M4,L7+M4)</f>
        <v>0</v>
      </c>
      <c r="N7" s="338">
        <f>IF(Jun!$H$47="x",AU7+Jun!$N$36,AU7)</f>
        <v>0.31666666666666665</v>
      </c>
      <c r="O7" s="337" t="str">
        <f>IF((M7-N7-U$4)&lt;0,"-","+")</f>
        <v>-</v>
      </c>
      <c r="P7" s="314">
        <f>ABS(M7-N7-U$4)</f>
        <v>0.31666666666666665</v>
      </c>
      <c r="Q7" s="312">
        <f t="shared" ref="Q7:Q37" si="0">AP7</f>
        <v>0</v>
      </c>
      <c r="R7" s="312">
        <f t="shared" ref="R7:R37" si="1">AQ7</f>
        <v>0</v>
      </c>
      <c r="S7" s="312">
        <f t="shared" ref="S7:S37" si="2">AR7</f>
        <v>0</v>
      </c>
      <c r="T7" s="312">
        <f t="shared" ref="T7:T37" si="3">AO7</f>
        <v>0</v>
      </c>
      <c r="U7" s="313">
        <f>IF(D7="F",L7,0)</f>
        <v>0</v>
      </c>
      <c r="V7" s="313">
        <f>AE7</f>
        <v>0</v>
      </c>
      <c r="W7" s="313">
        <f>AF7</f>
        <v>0</v>
      </c>
      <c r="X7" s="312"/>
      <c r="Y7" s="310"/>
      <c r="Z7" s="310"/>
      <c r="AA7" s="315">
        <f t="shared" ref="AA7:AA37" si="4">IF((G7&gt;$AD$3)*AND(F7&lt;=$AD$3),G7-$AD$3,)+IF(F7&gt;$AD$3,G7-F7,)+IF((I7&gt;$AD$3)*AND(H7&lt;=$AD$3),I7-$AD$3,)+IF((H7&gt;$AD$3),I7-H7,)+IF((K7&gt;$AD$3)*AND(J7&lt;=$AD$3),K7-$AD$3,)+IF((J7&gt;$AD$3),K7-J7,)</f>
        <v>0</v>
      </c>
      <c r="AB7" s="315">
        <f t="shared" ref="AB7:AB37" si="5">IF((G7&gt;=$AD$1)*AND(F7&lt;$AD$1),($AD$1)-F7,)+IF((G7&lt;$AD$1),G7-F7,)+IF((I7&gt;=$AD$1)*AND(H7&lt;$AD$1),($AD$1)-H7,)+IF((I7&lt;$AD$1),I7-H7,)+IF((K7&gt;=$AD$1)*AND(J7&lt;$AD$1),($AD$1)-J7,)+IF((K7&lt;$AD$1),K7-J7,)</f>
        <v>0</v>
      </c>
      <c r="AC7" s="315">
        <f>AA7+AB7</f>
        <v>0</v>
      </c>
      <c r="AD7" s="315">
        <f t="shared" ref="AD7:AD37" si="6">IF((G7&gt;0.91666667)*AND(F7&gt;=0.91666667),G7-F7,)+IF((G7&gt;0.91666667)*AND(F7&lt;0.91666667),G7-0.91666667,)+IF((I7&gt;0.91666667)*AND(H7&gt;=0.91666667),I7-H7,)+IF((I7&gt;0.91666667)*AND(H7&lt;0.91666667),I7-0.91666667,)+IF((K7&gt;0.91666667)*AND(J7&gt;=0.91666667),K7-J7,)+IF((K7&gt;0.91666667)*AND(J7&lt;0.91666667),K7-0.91666667,)</f>
        <v>0</v>
      </c>
      <c r="AE7" s="316">
        <f>AA7-AD7</f>
        <v>0</v>
      </c>
      <c r="AF7" s="315">
        <f>AH7+AD7</f>
        <v>0</v>
      </c>
      <c r="AG7" s="316">
        <f>AC7</f>
        <v>0</v>
      </c>
      <c r="AH7" s="315">
        <f t="shared" ref="AH7:AH37" si="7">IF((G7&gt;=$AD$2)*AND(F7&lt;$AD$2),($AD$2)-F7,)+IF((G7&lt;$AD$2),G7-F7,)+IF((I7&gt;=$AD$2)*AND(H7&lt;$AD$2),($AD$2)-H7,)+IF((I7&lt;$AD$2),I7-H7,)+IF((K7&gt;=$AD$2)*AND(J7&lt;$AD$2),($AD$2)-J7,)+IF((K7&lt;$AD$2),K7-J7,)</f>
        <v>0</v>
      </c>
      <c r="AI7" s="123">
        <f>IF((D7&lt;&gt;""),VLOOKUP(D7,Data!$E$36:$H$53,4),)</f>
        <v>0</v>
      </c>
      <c r="AJ7" s="123">
        <f t="shared" ref="AJ7:AJ37" si="8">IF(U7&gt;0,L7,0)</f>
        <v>0</v>
      </c>
      <c r="AK7" s="4">
        <f t="shared" ref="AK7:AK37" si="9">IF(L7&gt;0,D7,0)</f>
        <v>0</v>
      </c>
      <c r="AL7" s="4">
        <f t="shared" ref="AL7:AL37" si="10">IF((E7="X")*OR(E7="x"),1,0)</f>
        <v>0</v>
      </c>
      <c r="AM7" s="1">
        <f t="shared" ref="AM7:AM37" si="11">IF(D7="F",1,)+IF((D7="VB")*AND(((G7-F7)+(I7-H7)+(K7-J7))&gt;0),1,0)</f>
        <v>0</v>
      </c>
      <c r="AN7" s="123">
        <f t="shared" ref="AN7:AN37" si="12">IF((D7="VB")*AND(((G7-F7)+(I7-H7)+(K7-J7))=0),"07:36",0)</f>
        <v>0</v>
      </c>
      <c r="AO7" s="317">
        <f t="shared" ref="AO7:AO37" si="13">IF((F7&lt;=$AQ$2)*AND(G7&gt;=$AQ$3),1,)+IF((H7&lt;=$AQ$2)*AND(I7&gt;=$AQ$3),1,)+IF((J7&lt;=$AQ$2)*AND(K7&gt;=$AQ$3),1,)</f>
        <v>0</v>
      </c>
      <c r="AP7" s="317">
        <f t="shared" ref="AP7:AP37" si="14">IF((F7&lt;=$AR$2)*AND(G7&gt;=$AR$3),1,)+IF((H7&lt;=$AR$2)*AND(I7&gt;=$AR$3),1,)+IF((J7&lt;=$AR$2)*AND(K7&gt;=$AR$3),1,)</f>
        <v>0</v>
      </c>
      <c r="AQ7" s="317">
        <f t="shared" ref="AQ7:AQ37" si="15">IF((F7&lt;=$AS$2)*AND(G7&gt;=$AS$3),1,)+IF((H7&lt;=$AS$2)*AND(I7&gt;=$AS$3),1,)+IF((J7&lt;=$AS$2)*AND(K7&gt;=$AS$3),1,)</f>
        <v>0</v>
      </c>
      <c r="AR7" s="317">
        <f t="shared" ref="AR7:AR37" si="16">IF((F7=$AT$2)*AND(G7&gt;=$AT$3),1,)+IF((H7=$AT$2)*AND(I7&gt;=$AT$3),1,)+IF((J7=$AT$2)*AND(K7&gt;=$AT$3),1,)</f>
        <v>0</v>
      </c>
      <c r="AS7" s="4">
        <f t="shared" ref="AS7:AS37" si="17">IF((E7="MO")*OR(E7="mo"),1,0)</f>
        <v>0</v>
      </c>
      <c r="AT7" s="4">
        <f t="shared" ref="AT7:AT37" si="18">IF((E7="M")*OR(E7="m"),1,0)</f>
        <v>0</v>
      </c>
      <c r="AU7" s="313">
        <f>IF(Data!$H$8="x",AV7,AW7)</f>
        <v>0.31666666666666665</v>
      </c>
      <c r="AV7" s="313">
        <f t="shared" ref="AV7:AV37" si="19">AW7/2</f>
        <v>0.15833333333333333</v>
      </c>
      <c r="AW7" s="313">
        <f>IF(D7="V",AX4,(AX4+"07:36"))</f>
        <v>0.31666666666666665</v>
      </c>
      <c r="AX7" s="6" t="str">
        <f t="shared" ref="AX7:AX37" si="20">B7</f>
        <v>Wo</v>
      </c>
      <c r="AY7" s="4">
        <f>IF((R40="HAU1")*AND(R41&lt;&gt;""),VLOOKUP(R41,Barema!$Q$5:$R$31,2),)</f>
        <v>0</v>
      </c>
      <c r="AZ7" s="4" t="s">
        <v>0</v>
      </c>
      <c r="BA7" s="102"/>
    </row>
    <row r="8" spans="1:54" s="378" customFormat="1" x14ac:dyDescent="0.2">
      <c r="A8" s="309"/>
      <c r="B8" s="6" t="s">
        <v>167</v>
      </c>
      <c r="C8" s="311" t="s">
        <v>414</v>
      </c>
      <c r="D8" s="312"/>
      <c r="E8" s="312"/>
      <c r="F8" s="274"/>
      <c r="G8" s="274"/>
      <c r="H8" s="310"/>
      <c r="I8" s="310"/>
      <c r="J8" s="417"/>
      <c r="K8" s="417"/>
      <c r="L8" s="313">
        <f>(G8-F8)+(I8-H8)+(K8-J8)+AI8+AN8</f>
        <v>0</v>
      </c>
      <c r="M8" s="313">
        <f>IF(H1="NIET-GEREGISTREERDE VERSIE","NUL",M7+L8)</f>
        <v>0</v>
      </c>
      <c r="N8" s="338">
        <f>IF(Jun!$H$47="x",AU8+Jun!$N$36,AU8)</f>
        <v>0.6333333333333333</v>
      </c>
      <c r="O8" s="337" t="str">
        <f t="shared" ref="O8:O37" si="21">IF((M8-N8-U$4)&lt;0,"-","+")</f>
        <v>-</v>
      </c>
      <c r="P8" s="314">
        <f t="shared" ref="P8:P37" si="22">ABS(M8-N8-U$4)</f>
        <v>0.6333333333333333</v>
      </c>
      <c r="Q8" s="312">
        <f t="shared" si="0"/>
        <v>0</v>
      </c>
      <c r="R8" s="312">
        <f t="shared" si="1"/>
        <v>0</v>
      </c>
      <c r="S8" s="312">
        <f t="shared" si="2"/>
        <v>0</v>
      </c>
      <c r="T8" s="312">
        <f t="shared" si="3"/>
        <v>0</v>
      </c>
      <c r="U8" s="313">
        <f>IF(D8="F",L8,0)</f>
        <v>0</v>
      </c>
      <c r="V8" s="313">
        <f t="shared" ref="V8:V37" si="23">AE8</f>
        <v>0</v>
      </c>
      <c r="W8" s="313">
        <f t="shared" ref="W8:W37" si="24">AF8</f>
        <v>0</v>
      </c>
      <c r="X8" s="312"/>
      <c r="Y8" s="310"/>
      <c r="Z8" s="310"/>
      <c r="AA8" s="315">
        <f t="shared" si="4"/>
        <v>0</v>
      </c>
      <c r="AB8" s="315">
        <f t="shared" si="5"/>
        <v>0</v>
      </c>
      <c r="AC8" s="315">
        <f>AA8+AB8</f>
        <v>0</v>
      </c>
      <c r="AD8" s="315">
        <f t="shared" si="6"/>
        <v>0</v>
      </c>
      <c r="AE8" s="316">
        <f>AA8-AD8</f>
        <v>0</v>
      </c>
      <c r="AF8" s="315">
        <f>AH8+AD8</f>
        <v>0</v>
      </c>
      <c r="AG8" s="316">
        <f>AC8</f>
        <v>0</v>
      </c>
      <c r="AH8" s="315">
        <f t="shared" si="7"/>
        <v>0</v>
      </c>
      <c r="AI8" s="123">
        <f>IF((D8&lt;&gt;""),VLOOKUP(D8,Data!$E$36:$H$53,4),)</f>
        <v>0</v>
      </c>
      <c r="AJ8" s="123">
        <f t="shared" si="8"/>
        <v>0</v>
      </c>
      <c r="AK8" s="4">
        <f t="shared" si="9"/>
        <v>0</v>
      </c>
      <c r="AL8" s="4">
        <f t="shared" si="10"/>
        <v>0</v>
      </c>
      <c r="AM8" s="1">
        <f t="shared" si="11"/>
        <v>0</v>
      </c>
      <c r="AN8" s="123">
        <f t="shared" si="12"/>
        <v>0</v>
      </c>
      <c r="AO8" s="317">
        <f t="shared" si="13"/>
        <v>0</v>
      </c>
      <c r="AP8" s="317">
        <f t="shared" si="14"/>
        <v>0</v>
      </c>
      <c r="AQ8" s="317">
        <f t="shared" si="15"/>
        <v>0</v>
      </c>
      <c r="AR8" s="317">
        <f t="shared" si="16"/>
        <v>0</v>
      </c>
      <c r="AS8" s="4">
        <f t="shared" si="17"/>
        <v>0</v>
      </c>
      <c r="AT8" s="4">
        <f t="shared" si="18"/>
        <v>0</v>
      </c>
      <c r="AU8" s="313">
        <f>IF(Data!$H$8="x",AV8,AW8)</f>
        <v>0.6333333333333333</v>
      </c>
      <c r="AV8" s="313">
        <f t="shared" si="19"/>
        <v>0.31666666666666665</v>
      </c>
      <c r="AW8" s="313">
        <f>IF(D8="V",AW7,(AW7+"07:36"))</f>
        <v>0.6333333333333333</v>
      </c>
      <c r="AX8" s="6" t="str">
        <f t="shared" si="20"/>
        <v>Do</v>
      </c>
      <c r="AY8" s="4">
        <f>IF((R40="HAU2")*AND(R41&lt;&gt;""),VLOOKUP(R41,Barema!$T$5:$U$31,2),)</f>
        <v>0</v>
      </c>
      <c r="AZ8" s="4" t="s">
        <v>1</v>
      </c>
      <c r="BA8" s="102"/>
    </row>
    <row r="9" spans="1:54" s="378" customFormat="1" x14ac:dyDescent="0.2">
      <c r="A9" s="309"/>
      <c r="B9" s="6" t="s">
        <v>169</v>
      </c>
      <c r="C9" s="311" t="s">
        <v>415</v>
      </c>
      <c r="D9" s="312"/>
      <c r="E9" s="312"/>
      <c r="F9" s="274"/>
      <c r="G9" s="274"/>
      <c r="H9" s="310"/>
      <c r="I9" s="310"/>
      <c r="J9" s="310"/>
      <c r="K9" s="310"/>
      <c r="L9" s="313">
        <f>(G9-F9)+(I9-H9)+(K9-J9)+AI9+AN9</f>
        <v>0</v>
      </c>
      <c r="M9" s="313">
        <f t="shared" ref="M9:M37" si="25">M8+L9</f>
        <v>0</v>
      </c>
      <c r="N9" s="338">
        <f>IF(Jun!$H$47="x",AU9+Jun!$N$36,AU9)</f>
        <v>0.95</v>
      </c>
      <c r="O9" s="337" t="str">
        <f t="shared" si="21"/>
        <v>-</v>
      </c>
      <c r="P9" s="314">
        <f t="shared" si="22"/>
        <v>0.95</v>
      </c>
      <c r="Q9" s="312">
        <f t="shared" si="0"/>
        <v>0</v>
      </c>
      <c r="R9" s="312">
        <f t="shared" si="1"/>
        <v>0</v>
      </c>
      <c r="S9" s="312">
        <f t="shared" si="2"/>
        <v>0</v>
      </c>
      <c r="T9" s="312">
        <f t="shared" si="3"/>
        <v>0</v>
      </c>
      <c r="U9" s="313">
        <f>IF(D9="F",L9,0)</f>
        <v>0</v>
      </c>
      <c r="V9" s="313">
        <f t="shared" si="23"/>
        <v>0</v>
      </c>
      <c r="W9" s="313">
        <f t="shared" si="24"/>
        <v>0</v>
      </c>
      <c r="X9" s="312"/>
      <c r="Y9" s="310"/>
      <c r="Z9" s="310"/>
      <c r="AA9" s="315">
        <f t="shared" si="4"/>
        <v>0</v>
      </c>
      <c r="AB9" s="315">
        <f t="shared" si="5"/>
        <v>0</v>
      </c>
      <c r="AC9" s="315">
        <f t="shared" ref="AC9:AC37" si="26">AA9+AB9</f>
        <v>0</v>
      </c>
      <c r="AD9" s="315">
        <f t="shared" si="6"/>
        <v>0</v>
      </c>
      <c r="AE9" s="316">
        <f t="shared" ref="AE9:AE37" si="27">AA9-AD9</f>
        <v>0</v>
      </c>
      <c r="AF9" s="315">
        <f t="shared" ref="AF9:AF37" si="28">AH9+AD9</f>
        <v>0</v>
      </c>
      <c r="AG9" s="316">
        <f t="shared" ref="AG9:AG37" si="29">AC9</f>
        <v>0</v>
      </c>
      <c r="AH9" s="315">
        <f t="shared" si="7"/>
        <v>0</v>
      </c>
      <c r="AI9" s="123">
        <f>IF((D9&lt;&gt;""),VLOOKUP(D9,Data!$E$36:$H$53,4),)</f>
        <v>0</v>
      </c>
      <c r="AJ9" s="123">
        <f t="shared" si="8"/>
        <v>0</v>
      </c>
      <c r="AK9" s="4">
        <f t="shared" si="9"/>
        <v>0</v>
      </c>
      <c r="AL9" s="4">
        <f t="shared" si="10"/>
        <v>0</v>
      </c>
      <c r="AM9" s="1">
        <f t="shared" si="11"/>
        <v>0</v>
      </c>
      <c r="AN9" s="123">
        <f t="shared" si="12"/>
        <v>0</v>
      </c>
      <c r="AO9" s="317">
        <f t="shared" si="13"/>
        <v>0</v>
      </c>
      <c r="AP9" s="317">
        <f t="shared" si="14"/>
        <v>0</v>
      </c>
      <c r="AQ9" s="317">
        <f t="shared" si="15"/>
        <v>0</v>
      </c>
      <c r="AR9" s="317">
        <f t="shared" si="16"/>
        <v>0</v>
      </c>
      <c r="AS9" s="4">
        <f t="shared" si="17"/>
        <v>0</v>
      </c>
      <c r="AT9" s="4">
        <f t="shared" si="18"/>
        <v>0</v>
      </c>
      <c r="AU9" s="313">
        <f>IF(Data!$H$8="x",AV9,AW9)</f>
        <v>0.95</v>
      </c>
      <c r="AV9" s="313">
        <f t="shared" si="19"/>
        <v>0.47499999999999998</v>
      </c>
      <c r="AW9" s="313">
        <f>IF(D9="V",AW8,(AW8+"07:36"))</f>
        <v>0.95</v>
      </c>
      <c r="AX9" s="6" t="str">
        <f t="shared" si="20"/>
        <v>Vr</v>
      </c>
      <c r="AY9" s="4">
        <f>IF((R40="HAU3")*AND(R41&lt;&gt;""),VLOOKUP(R41,Barema!$W$5:$X$31,2),)</f>
        <v>0</v>
      </c>
      <c r="AZ9" s="4" t="s">
        <v>2</v>
      </c>
      <c r="BA9" s="102"/>
    </row>
    <row r="10" spans="1:54" s="376" customFormat="1" x14ac:dyDescent="0.2">
      <c r="A10" s="374"/>
      <c r="B10" s="362" t="s">
        <v>171</v>
      </c>
      <c r="C10" s="363" t="s">
        <v>416</v>
      </c>
      <c r="D10" s="364"/>
      <c r="E10" s="364"/>
      <c r="F10" s="365"/>
      <c r="G10" s="365"/>
      <c r="H10" s="365"/>
      <c r="I10" s="365"/>
      <c r="J10" s="365"/>
      <c r="K10" s="365"/>
      <c r="L10" s="366">
        <f>(G10-F10)+(I10-H10)+(K10-J10)</f>
        <v>0</v>
      </c>
      <c r="M10" s="366">
        <f t="shared" si="25"/>
        <v>0</v>
      </c>
      <c r="N10" s="382">
        <f>IF(Jun!$H$47="x",AU10+Jun!$N$36,AU10)</f>
        <v>0.95</v>
      </c>
      <c r="O10" s="377" t="str">
        <f t="shared" si="21"/>
        <v>-</v>
      </c>
      <c r="P10" s="367">
        <f t="shared" si="22"/>
        <v>0.95</v>
      </c>
      <c r="Q10" s="364">
        <f t="shared" si="0"/>
        <v>0</v>
      </c>
      <c r="R10" s="364">
        <f t="shared" si="1"/>
        <v>0</v>
      </c>
      <c r="S10" s="364">
        <f t="shared" si="2"/>
        <v>0</v>
      </c>
      <c r="T10" s="364">
        <f t="shared" si="3"/>
        <v>0</v>
      </c>
      <c r="U10" s="366">
        <f>L10</f>
        <v>0</v>
      </c>
      <c r="V10" s="366">
        <f t="shared" si="23"/>
        <v>0</v>
      </c>
      <c r="W10" s="366">
        <f t="shared" si="24"/>
        <v>0</v>
      </c>
      <c r="X10" s="364"/>
      <c r="Y10" s="365"/>
      <c r="Z10" s="365"/>
      <c r="AA10" s="368">
        <f t="shared" si="4"/>
        <v>0</v>
      </c>
      <c r="AB10" s="368">
        <f t="shared" si="5"/>
        <v>0</v>
      </c>
      <c r="AC10" s="368">
        <f t="shared" si="26"/>
        <v>0</v>
      </c>
      <c r="AD10" s="368">
        <f t="shared" si="6"/>
        <v>0</v>
      </c>
      <c r="AE10" s="369">
        <f t="shared" si="27"/>
        <v>0</v>
      </c>
      <c r="AF10" s="368">
        <f t="shared" si="28"/>
        <v>0</v>
      </c>
      <c r="AG10" s="369">
        <f t="shared" si="29"/>
        <v>0</v>
      </c>
      <c r="AH10" s="368">
        <f t="shared" si="7"/>
        <v>0</v>
      </c>
      <c r="AI10" s="370">
        <f>IF((D10&lt;&gt;""),VLOOKUP(D10,Data!$E$36:$H$53,4),)</f>
        <v>0</v>
      </c>
      <c r="AJ10" s="370">
        <f t="shared" si="8"/>
        <v>0</v>
      </c>
      <c r="AK10" s="371">
        <f t="shared" si="9"/>
        <v>0</v>
      </c>
      <c r="AL10" s="371">
        <f t="shared" si="10"/>
        <v>0</v>
      </c>
      <c r="AM10" s="372">
        <f t="shared" si="11"/>
        <v>0</v>
      </c>
      <c r="AN10" s="370">
        <f t="shared" si="12"/>
        <v>0</v>
      </c>
      <c r="AO10" s="373">
        <f t="shared" si="13"/>
        <v>0</v>
      </c>
      <c r="AP10" s="373">
        <f t="shared" si="14"/>
        <v>0</v>
      </c>
      <c r="AQ10" s="373">
        <f t="shared" si="15"/>
        <v>0</v>
      </c>
      <c r="AR10" s="373">
        <f t="shared" si="16"/>
        <v>0</v>
      </c>
      <c r="AS10" s="371">
        <f t="shared" si="17"/>
        <v>0</v>
      </c>
      <c r="AT10" s="371">
        <f t="shared" si="18"/>
        <v>0</v>
      </c>
      <c r="AU10" s="366">
        <f>IF(Data!$H$8="x",AV10,AW10)</f>
        <v>0.95</v>
      </c>
      <c r="AV10" s="366">
        <f t="shared" si="19"/>
        <v>0.47499999999999998</v>
      </c>
      <c r="AW10" s="366">
        <f>AW9</f>
        <v>0.95</v>
      </c>
      <c r="AX10" s="362" t="str">
        <f t="shared" si="20"/>
        <v>Za</v>
      </c>
      <c r="AY10" s="371">
        <f>IF((R40="B1")*AND(R41&lt;&gt;""),VLOOKUP(R41,Barema!$Z$5:$AA$31,2),)</f>
        <v>0</v>
      </c>
      <c r="AZ10" s="371" t="s">
        <v>3</v>
      </c>
      <c r="BA10" s="439"/>
    </row>
    <row r="11" spans="1:54" s="376" customFormat="1" x14ac:dyDescent="0.2">
      <c r="A11" s="374"/>
      <c r="B11" s="362" t="s">
        <v>173</v>
      </c>
      <c r="C11" s="363" t="s">
        <v>417</v>
      </c>
      <c r="D11" s="364"/>
      <c r="E11" s="364"/>
      <c r="F11" s="365"/>
      <c r="G11" s="365"/>
      <c r="H11" s="365"/>
      <c r="I11" s="365"/>
      <c r="J11" s="365"/>
      <c r="K11" s="365"/>
      <c r="L11" s="366">
        <f>(G11-F11)+(I11-H11)+(K11-J11)</f>
        <v>0</v>
      </c>
      <c r="M11" s="366">
        <f t="shared" si="25"/>
        <v>0</v>
      </c>
      <c r="N11" s="382">
        <f>IF(Jun!$H$47="x",AU11+Jun!$N$36,AU11)</f>
        <v>0.95</v>
      </c>
      <c r="O11" s="377" t="str">
        <f t="shared" si="21"/>
        <v>-</v>
      </c>
      <c r="P11" s="367">
        <f t="shared" si="22"/>
        <v>0.95</v>
      </c>
      <c r="Q11" s="364">
        <f t="shared" si="0"/>
        <v>0</v>
      </c>
      <c r="R11" s="364">
        <f t="shared" si="1"/>
        <v>0</v>
      </c>
      <c r="S11" s="364">
        <f t="shared" si="2"/>
        <v>0</v>
      </c>
      <c r="T11" s="364">
        <f t="shared" si="3"/>
        <v>0</v>
      </c>
      <c r="U11" s="366">
        <f>L11</f>
        <v>0</v>
      </c>
      <c r="V11" s="366">
        <f t="shared" si="23"/>
        <v>0</v>
      </c>
      <c r="W11" s="366">
        <f t="shared" si="24"/>
        <v>0</v>
      </c>
      <c r="X11" s="364"/>
      <c r="Y11" s="365"/>
      <c r="Z11" s="365"/>
      <c r="AA11" s="368">
        <f t="shared" si="4"/>
        <v>0</v>
      </c>
      <c r="AB11" s="368">
        <f t="shared" si="5"/>
        <v>0</v>
      </c>
      <c r="AC11" s="368">
        <f t="shared" si="26"/>
        <v>0</v>
      </c>
      <c r="AD11" s="368">
        <f t="shared" si="6"/>
        <v>0</v>
      </c>
      <c r="AE11" s="369">
        <f t="shared" si="27"/>
        <v>0</v>
      </c>
      <c r="AF11" s="368">
        <f t="shared" si="28"/>
        <v>0</v>
      </c>
      <c r="AG11" s="369">
        <f t="shared" si="29"/>
        <v>0</v>
      </c>
      <c r="AH11" s="368">
        <f t="shared" si="7"/>
        <v>0</v>
      </c>
      <c r="AI11" s="370">
        <f>IF((D11&lt;&gt;""),VLOOKUP(D11,Data!$E$36:$H$53,4),)</f>
        <v>0</v>
      </c>
      <c r="AJ11" s="370">
        <f t="shared" si="8"/>
        <v>0</v>
      </c>
      <c r="AK11" s="371">
        <f t="shared" si="9"/>
        <v>0</v>
      </c>
      <c r="AL11" s="371">
        <f t="shared" si="10"/>
        <v>0</v>
      </c>
      <c r="AM11" s="372">
        <f t="shared" si="11"/>
        <v>0</v>
      </c>
      <c r="AN11" s="370">
        <f t="shared" si="12"/>
        <v>0</v>
      </c>
      <c r="AO11" s="373">
        <f t="shared" si="13"/>
        <v>0</v>
      </c>
      <c r="AP11" s="373">
        <f t="shared" si="14"/>
        <v>0</v>
      </c>
      <c r="AQ11" s="373">
        <f t="shared" si="15"/>
        <v>0</v>
      </c>
      <c r="AR11" s="373">
        <f t="shared" si="16"/>
        <v>0</v>
      </c>
      <c r="AS11" s="371">
        <f t="shared" si="17"/>
        <v>0</v>
      </c>
      <c r="AT11" s="371">
        <f t="shared" si="18"/>
        <v>0</v>
      </c>
      <c r="AU11" s="366">
        <f>IF(Data!$H$8="x",AV11,AW11)</f>
        <v>0.95</v>
      </c>
      <c r="AV11" s="366">
        <f t="shared" si="19"/>
        <v>0.47499999999999998</v>
      </c>
      <c r="AW11" s="366">
        <f>AW10</f>
        <v>0.95</v>
      </c>
      <c r="AX11" s="362" t="str">
        <f t="shared" si="20"/>
        <v>Zo</v>
      </c>
      <c r="AY11" s="371">
        <f>IF((R40="B2")*AND(R41&lt;&gt;""),VLOOKUP(R41,Barema!$AC$5:$AD$31,2),)</f>
        <v>0</v>
      </c>
      <c r="AZ11" s="371" t="s">
        <v>4</v>
      </c>
      <c r="BA11" s="439"/>
    </row>
    <row r="12" spans="1:54" s="378" customFormat="1" x14ac:dyDescent="0.2">
      <c r="A12" s="309"/>
      <c r="B12" s="6" t="s">
        <v>175</v>
      </c>
      <c r="C12" s="311" t="s">
        <v>418</v>
      </c>
      <c r="D12" s="312"/>
      <c r="E12" s="312"/>
      <c r="F12" s="274"/>
      <c r="G12" s="274"/>
      <c r="H12" s="310"/>
      <c r="I12" s="310"/>
      <c r="J12" s="310"/>
      <c r="K12" s="310"/>
      <c r="L12" s="313">
        <f>(G12-F12)+(I12-H12)+(K12-J12)+AI12+AN12</f>
        <v>0</v>
      </c>
      <c r="M12" s="313">
        <f t="shared" si="25"/>
        <v>0</v>
      </c>
      <c r="N12" s="338">
        <f>IF(Jun!$H$47="x",AU12+Jun!$N$36,AU12)</f>
        <v>1.2666666666666666</v>
      </c>
      <c r="O12" s="337" t="str">
        <f t="shared" si="21"/>
        <v>-</v>
      </c>
      <c r="P12" s="314">
        <f t="shared" si="22"/>
        <v>1.2666666666666666</v>
      </c>
      <c r="Q12" s="312">
        <f t="shared" si="0"/>
        <v>0</v>
      </c>
      <c r="R12" s="312">
        <f t="shared" si="1"/>
        <v>0</v>
      </c>
      <c r="S12" s="312">
        <f t="shared" si="2"/>
        <v>0</v>
      </c>
      <c r="T12" s="312">
        <f t="shared" si="3"/>
        <v>0</v>
      </c>
      <c r="U12" s="313">
        <f>IF(D12="F",L12,0)</f>
        <v>0</v>
      </c>
      <c r="V12" s="313">
        <f t="shared" si="23"/>
        <v>0</v>
      </c>
      <c r="W12" s="313">
        <f t="shared" si="24"/>
        <v>0</v>
      </c>
      <c r="X12" s="312"/>
      <c r="Y12" s="310"/>
      <c r="Z12" s="310"/>
      <c r="AA12" s="315">
        <f t="shared" si="4"/>
        <v>0</v>
      </c>
      <c r="AB12" s="315">
        <f t="shared" si="5"/>
        <v>0</v>
      </c>
      <c r="AC12" s="315">
        <f t="shared" si="26"/>
        <v>0</v>
      </c>
      <c r="AD12" s="315">
        <f t="shared" si="6"/>
        <v>0</v>
      </c>
      <c r="AE12" s="316">
        <f t="shared" si="27"/>
        <v>0</v>
      </c>
      <c r="AF12" s="315">
        <f t="shared" si="28"/>
        <v>0</v>
      </c>
      <c r="AG12" s="316">
        <f t="shared" si="29"/>
        <v>0</v>
      </c>
      <c r="AH12" s="315">
        <f t="shared" si="7"/>
        <v>0</v>
      </c>
      <c r="AI12" s="123">
        <f>IF((D12&lt;&gt;""),VLOOKUP(D12,Data!$E$36:$H$53,4),)</f>
        <v>0</v>
      </c>
      <c r="AJ12" s="123">
        <f t="shared" si="8"/>
        <v>0</v>
      </c>
      <c r="AK12" s="4">
        <f t="shared" si="9"/>
        <v>0</v>
      </c>
      <c r="AL12" s="4">
        <f t="shared" si="10"/>
        <v>0</v>
      </c>
      <c r="AM12" s="1">
        <f t="shared" si="11"/>
        <v>0</v>
      </c>
      <c r="AN12" s="123">
        <f t="shared" si="12"/>
        <v>0</v>
      </c>
      <c r="AO12" s="317">
        <f t="shared" si="13"/>
        <v>0</v>
      </c>
      <c r="AP12" s="317">
        <f t="shared" si="14"/>
        <v>0</v>
      </c>
      <c r="AQ12" s="317">
        <f t="shared" si="15"/>
        <v>0</v>
      </c>
      <c r="AR12" s="317">
        <f t="shared" si="16"/>
        <v>0</v>
      </c>
      <c r="AS12" s="4">
        <f t="shared" si="17"/>
        <v>0</v>
      </c>
      <c r="AT12" s="4">
        <f t="shared" si="18"/>
        <v>0</v>
      </c>
      <c r="AU12" s="313">
        <f>IF(Data!$H$8="x",AV12,AW12)</f>
        <v>1.2666666666666666</v>
      </c>
      <c r="AV12" s="313">
        <f t="shared" si="19"/>
        <v>0.6333333333333333</v>
      </c>
      <c r="AW12" s="313">
        <f>IF(D12="V",AW11,(AW11+"07:36"))</f>
        <v>1.2666666666666666</v>
      </c>
      <c r="AX12" s="6" t="str">
        <f t="shared" si="20"/>
        <v>Ma</v>
      </c>
      <c r="AY12" s="4">
        <f>IF((R40="B3")*AND(R41&lt;&gt;""),VLOOKUP(R41,Barema!$AF$5:$AG$31,2),)</f>
        <v>0</v>
      </c>
      <c r="AZ12" s="4" t="s">
        <v>5</v>
      </c>
      <c r="BA12" s="102"/>
    </row>
    <row r="13" spans="1:54" s="378" customFormat="1" x14ac:dyDescent="0.2">
      <c r="A13" s="309"/>
      <c r="B13" s="6" t="s">
        <v>177</v>
      </c>
      <c r="C13" s="311" t="s">
        <v>419</v>
      </c>
      <c r="D13" s="312"/>
      <c r="E13" s="312"/>
      <c r="F13" s="274"/>
      <c r="G13" s="274"/>
      <c r="H13" s="310"/>
      <c r="I13" s="310"/>
      <c r="J13" s="310"/>
      <c r="K13" s="310"/>
      <c r="L13" s="313">
        <f>(G13-F13)+(I13-H13)+(K13-J13)+AI13+AN13</f>
        <v>0</v>
      </c>
      <c r="M13" s="313">
        <f t="shared" si="25"/>
        <v>0</v>
      </c>
      <c r="N13" s="338">
        <f>IF(Jun!$H$47="x",AU13+Jun!$N$36,AU13)</f>
        <v>1.5833333333333333</v>
      </c>
      <c r="O13" s="337" t="str">
        <f t="shared" si="21"/>
        <v>-</v>
      </c>
      <c r="P13" s="314">
        <f t="shared" si="22"/>
        <v>1.5833333333333333</v>
      </c>
      <c r="Q13" s="312">
        <f t="shared" si="0"/>
        <v>0</v>
      </c>
      <c r="R13" s="312">
        <f t="shared" si="1"/>
        <v>0</v>
      </c>
      <c r="S13" s="312">
        <f t="shared" si="2"/>
        <v>0</v>
      </c>
      <c r="T13" s="312">
        <f t="shared" si="3"/>
        <v>0</v>
      </c>
      <c r="U13" s="313">
        <f>IF(D13="F",L13,0)</f>
        <v>0</v>
      </c>
      <c r="V13" s="313">
        <f t="shared" si="23"/>
        <v>0</v>
      </c>
      <c r="W13" s="313">
        <f t="shared" si="24"/>
        <v>0</v>
      </c>
      <c r="X13" s="312"/>
      <c r="Y13" s="310"/>
      <c r="Z13" s="310"/>
      <c r="AA13" s="315">
        <f t="shared" si="4"/>
        <v>0</v>
      </c>
      <c r="AB13" s="315">
        <f t="shared" si="5"/>
        <v>0</v>
      </c>
      <c r="AC13" s="315">
        <f t="shared" si="26"/>
        <v>0</v>
      </c>
      <c r="AD13" s="315">
        <f t="shared" si="6"/>
        <v>0</v>
      </c>
      <c r="AE13" s="316">
        <f t="shared" si="27"/>
        <v>0</v>
      </c>
      <c r="AF13" s="315">
        <f t="shared" si="28"/>
        <v>0</v>
      </c>
      <c r="AG13" s="316">
        <f t="shared" si="29"/>
        <v>0</v>
      </c>
      <c r="AH13" s="315">
        <f t="shared" si="7"/>
        <v>0</v>
      </c>
      <c r="AI13" s="123">
        <f>IF((D13&lt;&gt;""),VLOOKUP(D13,Data!$E$36:$H$53,4),)</f>
        <v>0</v>
      </c>
      <c r="AJ13" s="123">
        <f t="shared" si="8"/>
        <v>0</v>
      </c>
      <c r="AK13" s="4">
        <f t="shared" si="9"/>
        <v>0</v>
      </c>
      <c r="AL13" s="4">
        <f t="shared" si="10"/>
        <v>0</v>
      </c>
      <c r="AM13" s="1">
        <f t="shared" si="11"/>
        <v>0</v>
      </c>
      <c r="AN13" s="123">
        <f t="shared" si="12"/>
        <v>0</v>
      </c>
      <c r="AO13" s="317">
        <f t="shared" si="13"/>
        <v>0</v>
      </c>
      <c r="AP13" s="317">
        <f t="shared" si="14"/>
        <v>0</v>
      </c>
      <c r="AQ13" s="317">
        <f t="shared" si="15"/>
        <v>0</v>
      </c>
      <c r="AR13" s="317">
        <f t="shared" si="16"/>
        <v>0</v>
      </c>
      <c r="AS13" s="4">
        <f t="shared" si="17"/>
        <v>0</v>
      </c>
      <c r="AT13" s="4">
        <f t="shared" si="18"/>
        <v>0</v>
      </c>
      <c r="AU13" s="313">
        <f>IF(Data!$H$8="x",AV13,AW13)</f>
        <v>1.5833333333333333</v>
      </c>
      <c r="AV13" s="313">
        <f t="shared" si="19"/>
        <v>0.79166666666666663</v>
      </c>
      <c r="AW13" s="313">
        <f>IF(D13="V",AW12,(AW12+"07:36"))</f>
        <v>1.5833333333333333</v>
      </c>
      <c r="AX13" s="6" t="str">
        <f t="shared" si="20"/>
        <v>Di</v>
      </c>
      <c r="AY13" s="4">
        <f>IF((R40="B4")*AND(R41&lt;&gt;""),VLOOKUP(R41,Barema!$AI$5:$AJ$34,2),)</f>
        <v>0</v>
      </c>
      <c r="AZ13" s="4" t="s">
        <v>6</v>
      </c>
      <c r="BA13" s="102"/>
    </row>
    <row r="14" spans="1:54" s="378" customFormat="1" x14ac:dyDescent="0.2">
      <c r="A14" s="309"/>
      <c r="B14" s="6" t="s">
        <v>179</v>
      </c>
      <c r="C14" s="311" t="s">
        <v>420</v>
      </c>
      <c r="D14" s="312"/>
      <c r="E14" s="312"/>
      <c r="F14" s="274"/>
      <c r="G14" s="274"/>
      <c r="H14" s="310"/>
      <c r="I14" s="310"/>
      <c r="J14" s="417"/>
      <c r="K14" s="417"/>
      <c r="L14" s="313">
        <f>(G14-F14)+(I14-H14)+(K14-J14)+AI14+AN14</f>
        <v>0</v>
      </c>
      <c r="M14" s="313">
        <f>M13+L14</f>
        <v>0</v>
      </c>
      <c r="N14" s="338">
        <f>IF(Jun!$H$47="x",AU14+Jun!$N$36,AU14)</f>
        <v>1.9</v>
      </c>
      <c r="O14" s="337" t="str">
        <f t="shared" si="21"/>
        <v>-</v>
      </c>
      <c r="P14" s="314">
        <f t="shared" si="22"/>
        <v>1.9</v>
      </c>
      <c r="Q14" s="312">
        <f t="shared" si="0"/>
        <v>0</v>
      </c>
      <c r="R14" s="312">
        <f t="shared" si="1"/>
        <v>0</v>
      </c>
      <c r="S14" s="312">
        <f t="shared" si="2"/>
        <v>0</v>
      </c>
      <c r="T14" s="312">
        <f t="shared" si="3"/>
        <v>0</v>
      </c>
      <c r="U14" s="313">
        <f>IF(D14="F",L14,0)</f>
        <v>0</v>
      </c>
      <c r="V14" s="313">
        <f t="shared" si="23"/>
        <v>0</v>
      </c>
      <c r="W14" s="313">
        <f t="shared" si="24"/>
        <v>0</v>
      </c>
      <c r="X14" s="312"/>
      <c r="Y14" s="310"/>
      <c r="Z14" s="310"/>
      <c r="AA14" s="315">
        <f t="shared" si="4"/>
        <v>0</v>
      </c>
      <c r="AB14" s="315">
        <f t="shared" si="5"/>
        <v>0</v>
      </c>
      <c r="AC14" s="315">
        <f t="shared" si="26"/>
        <v>0</v>
      </c>
      <c r="AD14" s="315">
        <f t="shared" si="6"/>
        <v>0</v>
      </c>
      <c r="AE14" s="316">
        <f t="shared" si="27"/>
        <v>0</v>
      </c>
      <c r="AF14" s="315">
        <f t="shared" si="28"/>
        <v>0</v>
      </c>
      <c r="AG14" s="316">
        <f t="shared" si="29"/>
        <v>0</v>
      </c>
      <c r="AH14" s="315">
        <f t="shared" si="7"/>
        <v>0</v>
      </c>
      <c r="AI14" s="123">
        <f>IF((D14&lt;&gt;""),VLOOKUP(D14,Data!$E$36:$H$53,4),)</f>
        <v>0</v>
      </c>
      <c r="AJ14" s="123">
        <f t="shared" si="8"/>
        <v>0</v>
      </c>
      <c r="AK14" s="4">
        <f t="shared" si="9"/>
        <v>0</v>
      </c>
      <c r="AL14" s="4">
        <f t="shared" si="10"/>
        <v>0</v>
      </c>
      <c r="AM14" s="1">
        <f t="shared" si="11"/>
        <v>0</v>
      </c>
      <c r="AN14" s="123">
        <f t="shared" si="12"/>
        <v>0</v>
      </c>
      <c r="AO14" s="317">
        <f t="shared" si="13"/>
        <v>0</v>
      </c>
      <c r="AP14" s="317">
        <f t="shared" si="14"/>
        <v>0</v>
      </c>
      <c r="AQ14" s="317">
        <f t="shared" si="15"/>
        <v>0</v>
      </c>
      <c r="AR14" s="317">
        <f t="shared" si="16"/>
        <v>0</v>
      </c>
      <c r="AS14" s="4">
        <f t="shared" si="17"/>
        <v>0</v>
      </c>
      <c r="AT14" s="4">
        <f t="shared" si="18"/>
        <v>0</v>
      </c>
      <c r="AU14" s="313">
        <f>IF(Data!$H$8="x",AV14,AW14)</f>
        <v>1.9</v>
      </c>
      <c r="AV14" s="313">
        <f t="shared" si="19"/>
        <v>0.95</v>
      </c>
      <c r="AW14" s="313">
        <f>IF(D14="V",AW13,(AW13+"07:36"))</f>
        <v>1.9</v>
      </c>
      <c r="AX14" s="6" t="str">
        <f t="shared" si="20"/>
        <v>Wo</v>
      </c>
      <c r="AY14" s="4">
        <f>IF((R40="B5")*AND(R41&lt;&gt;""),VLOOKUP(R41,Barema!$AL$5:$AM$34,2),)</f>
        <v>0</v>
      </c>
      <c r="AZ14" s="4" t="s">
        <v>7</v>
      </c>
      <c r="BA14" s="102"/>
    </row>
    <row r="15" spans="1:54" s="378" customFormat="1" x14ac:dyDescent="0.2">
      <c r="A15" s="309"/>
      <c r="B15" s="6" t="s">
        <v>167</v>
      </c>
      <c r="C15" s="311" t="s">
        <v>421</v>
      </c>
      <c r="D15" s="312"/>
      <c r="E15" s="312"/>
      <c r="F15" s="274"/>
      <c r="G15" s="274"/>
      <c r="H15" s="310"/>
      <c r="I15" s="310"/>
      <c r="J15" s="417"/>
      <c r="K15" s="417"/>
      <c r="L15" s="313">
        <f>(G15-F15)+(I15-H15)+(K15-J15)+AI15+AN15</f>
        <v>0</v>
      </c>
      <c r="M15" s="313">
        <f>M14+L15</f>
        <v>0</v>
      </c>
      <c r="N15" s="338">
        <f>IF(Jun!$H$47="x",AU15+Jun!$N$36,AU15)</f>
        <v>2.2166666666666668</v>
      </c>
      <c r="O15" s="337" t="str">
        <f t="shared" si="21"/>
        <v>-</v>
      </c>
      <c r="P15" s="314">
        <f t="shared" si="22"/>
        <v>2.2166666666666668</v>
      </c>
      <c r="Q15" s="312">
        <f t="shared" si="0"/>
        <v>0</v>
      </c>
      <c r="R15" s="312">
        <f t="shared" si="1"/>
        <v>0</v>
      </c>
      <c r="S15" s="312">
        <f t="shared" si="2"/>
        <v>0</v>
      </c>
      <c r="T15" s="312">
        <f t="shared" si="3"/>
        <v>0</v>
      </c>
      <c r="U15" s="313">
        <f>IF(D15="F",L15,0)</f>
        <v>0</v>
      </c>
      <c r="V15" s="313">
        <f t="shared" si="23"/>
        <v>0</v>
      </c>
      <c r="W15" s="313">
        <f t="shared" si="24"/>
        <v>0</v>
      </c>
      <c r="X15" s="312"/>
      <c r="Y15" s="310"/>
      <c r="Z15" s="310"/>
      <c r="AA15" s="315">
        <f t="shared" si="4"/>
        <v>0</v>
      </c>
      <c r="AB15" s="315">
        <f t="shared" si="5"/>
        <v>0</v>
      </c>
      <c r="AC15" s="315">
        <f t="shared" si="26"/>
        <v>0</v>
      </c>
      <c r="AD15" s="315">
        <f t="shared" si="6"/>
        <v>0</v>
      </c>
      <c r="AE15" s="316">
        <f t="shared" si="27"/>
        <v>0</v>
      </c>
      <c r="AF15" s="315">
        <f t="shared" si="28"/>
        <v>0</v>
      </c>
      <c r="AG15" s="316">
        <f t="shared" si="29"/>
        <v>0</v>
      </c>
      <c r="AH15" s="315">
        <f t="shared" si="7"/>
        <v>0</v>
      </c>
      <c r="AI15" s="123">
        <f>IF((D15&lt;&gt;""),VLOOKUP(D15,Data!$E$36:$H$53,4),)</f>
        <v>0</v>
      </c>
      <c r="AJ15" s="123">
        <f t="shared" si="8"/>
        <v>0</v>
      </c>
      <c r="AK15" s="4">
        <f t="shared" si="9"/>
        <v>0</v>
      </c>
      <c r="AL15" s="4">
        <f t="shared" si="10"/>
        <v>0</v>
      </c>
      <c r="AM15" s="1">
        <f t="shared" si="11"/>
        <v>0</v>
      </c>
      <c r="AN15" s="123">
        <f t="shared" si="12"/>
        <v>0</v>
      </c>
      <c r="AO15" s="317">
        <f t="shared" si="13"/>
        <v>0</v>
      </c>
      <c r="AP15" s="317">
        <f t="shared" si="14"/>
        <v>0</v>
      </c>
      <c r="AQ15" s="317">
        <f t="shared" si="15"/>
        <v>0</v>
      </c>
      <c r="AR15" s="317">
        <f t="shared" si="16"/>
        <v>0</v>
      </c>
      <c r="AS15" s="4">
        <f t="shared" si="17"/>
        <v>0</v>
      </c>
      <c r="AT15" s="4">
        <f t="shared" si="18"/>
        <v>0</v>
      </c>
      <c r="AU15" s="313">
        <f>IF(Data!$H$8="x",AV15,AW15)</f>
        <v>2.2166666666666668</v>
      </c>
      <c r="AV15" s="313">
        <f t="shared" si="19"/>
        <v>1.1083333333333334</v>
      </c>
      <c r="AW15" s="313">
        <f>IF(D15="V",AW14,(AW14+"07:36"))</f>
        <v>2.2166666666666668</v>
      </c>
      <c r="AX15" s="6" t="str">
        <f t="shared" si="20"/>
        <v>Do</v>
      </c>
      <c r="AY15" s="4">
        <f>IF((R40="M1.1")*AND(R41&lt;&gt;""),VLOOKUP(R41,Barema!$AO$5:$AP$31,2),)</f>
        <v>0</v>
      </c>
      <c r="AZ15" s="4" t="s">
        <v>8</v>
      </c>
      <c r="BA15" s="102"/>
    </row>
    <row r="16" spans="1:54" s="378" customFormat="1" x14ac:dyDescent="0.2">
      <c r="A16" s="309"/>
      <c r="B16" s="6" t="s">
        <v>169</v>
      </c>
      <c r="C16" s="311" t="s">
        <v>422</v>
      </c>
      <c r="D16" s="312"/>
      <c r="E16" s="312"/>
      <c r="F16" s="274"/>
      <c r="G16" s="274"/>
      <c r="H16" s="310"/>
      <c r="I16" s="310"/>
      <c r="J16" s="310"/>
      <c r="K16" s="310"/>
      <c r="L16" s="313">
        <f>(G16-F16)+(I16-H16)+(K16-J16)+AI16+AN16</f>
        <v>0</v>
      </c>
      <c r="M16" s="313">
        <f t="shared" si="25"/>
        <v>0</v>
      </c>
      <c r="N16" s="338">
        <f>IF(Jun!$H$47="x",AU16+Jun!$N$36,AU16)</f>
        <v>2.5333333333333332</v>
      </c>
      <c r="O16" s="337" t="str">
        <f t="shared" si="21"/>
        <v>-</v>
      </c>
      <c r="P16" s="314">
        <f t="shared" si="22"/>
        <v>2.5333333333333332</v>
      </c>
      <c r="Q16" s="312">
        <f t="shared" si="0"/>
        <v>0</v>
      </c>
      <c r="R16" s="312">
        <f t="shared" si="1"/>
        <v>0</v>
      </c>
      <c r="S16" s="312">
        <f t="shared" si="2"/>
        <v>0</v>
      </c>
      <c r="T16" s="312">
        <f t="shared" si="3"/>
        <v>0</v>
      </c>
      <c r="U16" s="313">
        <f>IF(D16="F",L16,0)</f>
        <v>0</v>
      </c>
      <c r="V16" s="313">
        <f t="shared" si="23"/>
        <v>0</v>
      </c>
      <c r="W16" s="313">
        <f t="shared" si="24"/>
        <v>0</v>
      </c>
      <c r="X16" s="312"/>
      <c r="Y16" s="310"/>
      <c r="Z16" s="310"/>
      <c r="AA16" s="315">
        <f t="shared" si="4"/>
        <v>0</v>
      </c>
      <c r="AB16" s="315">
        <f t="shared" si="5"/>
        <v>0</v>
      </c>
      <c r="AC16" s="315">
        <f t="shared" si="26"/>
        <v>0</v>
      </c>
      <c r="AD16" s="315">
        <f t="shared" si="6"/>
        <v>0</v>
      </c>
      <c r="AE16" s="316">
        <f t="shared" si="27"/>
        <v>0</v>
      </c>
      <c r="AF16" s="315">
        <f t="shared" si="28"/>
        <v>0</v>
      </c>
      <c r="AG16" s="316">
        <f t="shared" si="29"/>
        <v>0</v>
      </c>
      <c r="AH16" s="315">
        <f t="shared" si="7"/>
        <v>0</v>
      </c>
      <c r="AI16" s="123">
        <f>IF((D16&lt;&gt;""),VLOOKUP(D16,Data!$E$36:$H$53,4),)</f>
        <v>0</v>
      </c>
      <c r="AJ16" s="123">
        <f t="shared" si="8"/>
        <v>0</v>
      </c>
      <c r="AK16" s="4">
        <f t="shared" si="9"/>
        <v>0</v>
      </c>
      <c r="AL16" s="4">
        <f t="shared" si="10"/>
        <v>0</v>
      </c>
      <c r="AM16" s="1">
        <f t="shared" si="11"/>
        <v>0</v>
      </c>
      <c r="AN16" s="123">
        <f t="shared" si="12"/>
        <v>0</v>
      </c>
      <c r="AO16" s="317">
        <f t="shared" si="13"/>
        <v>0</v>
      </c>
      <c r="AP16" s="317">
        <f t="shared" si="14"/>
        <v>0</v>
      </c>
      <c r="AQ16" s="317">
        <f t="shared" si="15"/>
        <v>0</v>
      </c>
      <c r="AR16" s="317">
        <f t="shared" si="16"/>
        <v>0</v>
      </c>
      <c r="AS16" s="4">
        <f t="shared" si="17"/>
        <v>0</v>
      </c>
      <c r="AT16" s="4">
        <f t="shared" si="18"/>
        <v>0</v>
      </c>
      <c r="AU16" s="313">
        <f>IF(Data!$H$8="x",AV16,AW16)</f>
        <v>2.5333333333333332</v>
      </c>
      <c r="AV16" s="313">
        <f t="shared" si="19"/>
        <v>1.2666666666666666</v>
      </c>
      <c r="AW16" s="313">
        <f>IF(D16="V",AW15,(AW15+"07:36"))</f>
        <v>2.5333333333333332</v>
      </c>
      <c r="AX16" s="6" t="str">
        <f t="shared" si="20"/>
        <v>Vr</v>
      </c>
      <c r="AY16" s="4">
        <f>IF((R40="M1.2")*AND(R41&lt;&gt;""),VLOOKUP(R41,Barema!$AR$5:$AS$31,2),)</f>
        <v>0</v>
      </c>
      <c r="AZ16" s="4" t="s">
        <v>9</v>
      </c>
      <c r="BA16" s="102"/>
    </row>
    <row r="17" spans="1:53" s="376" customFormat="1" x14ac:dyDescent="0.2">
      <c r="A17" s="374"/>
      <c r="B17" s="362" t="s">
        <v>171</v>
      </c>
      <c r="C17" s="363" t="s">
        <v>423</v>
      </c>
      <c r="D17" s="364"/>
      <c r="E17" s="364"/>
      <c r="F17" s="365"/>
      <c r="G17" s="365"/>
      <c r="H17" s="365"/>
      <c r="I17" s="365"/>
      <c r="J17" s="365"/>
      <c r="K17" s="365"/>
      <c r="L17" s="366">
        <f>(G17-F17)+(I17-H17)+(K17-J17)</f>
        <v>0</v>
      </c>
      <c r="M17" s="366">
        <f t="shared" si="25"/>
        <v>0</v>
      </c>
      <c r="N17" s="382">
        <f>IF(Jun!$H$47="x",AU17+Jun!$N$36,AU17)</f>
        <v>2.5333333333333332</v>
      </c>
      <c r="O17" s="377" t="str">
        <f t="shared" si="21"/>
        <v>-</v>
      </c>
      <c r="P17" s="367">
        <f t="shared" si="22"/>
        <v>2.5333333333333332</v>
      </c>
      <c r="Q17" s="364">
        <f t="shared" si="0"/>
        <v>0</v>
      </c>
      <c r="R17" s="364">
        <f t="shared" si="1"/>
        <v>0</v>
      </c>
      <c r="S17" s="364">
        <f t="shared" si="2"/>
        <v>0</v>
      </c>
      <c r="T17" s="364">
        <f t="shared" si="3"/>
        <v>0</v>
      </c>
      <c r="U17" s="366">
        <f>L17</f>
        <v>0</v>
      </c>
      <c r="V17" s="366">
        <f t="shared" si="23"/>
        <v>0</v>
      </c>
      <c r="W17" s="366">
        <f t="shared" si="24"/>
        <v>0</v>
      </c>
      <c r="X17" s="364"/>
      <c r="Y17" s="365"/>
      <c r="Z17" s="365"/>
      <c r="AA17" s="368">
        <f t="shared" si="4"/>
        <v>0</v>
      </c>
      <c r="AB17" s="368">
        <f t="shared" si="5"/>
        <v>0</v>
      </c>
      <c r="AC17" s="368">
        <f t="shared" si="26"/>
        <v>0</v>
      </c>
      <c r="AD17" s="368">
        <f t="shared" si="6"/>
        <v>0</v>
      </c>
      <c r="AE17" s="369">
        <f t="shared" si="27"/>
        <v>0</v>
      </c>
      <c r="AF17" s="368">
        <f t="shared" si="28"/>
        <v>0</v>
      </c>
      <c r="AG17" s="369">
        <f t="shared" si="29"/>
        <v>0</v>
      </c>
      <c r="AH17" s="368">
        <f t="shared" si="7"/>
        <v>0</v>
      </c>
      <c r="AI17" s="370">
        <f>IF((D17&lt;&gt;""),VLOOKUP(D17,Data!$E$36:$H$53,4),)</f>
        <v>0</v>
      </c>
      <c r="AJ17" s="370">
        <f t="shared" si="8"/>
        <v>0</v>
      </c>
      <c r="AK17" s="371">
        <f t="shared" si="9"/>
        <v>0</v>
      </c>
      <c r="AL17" s="371">
        <f t="shared" si="10"/>
        <v>0</v>
      </c>
      <c r="AM17" s="372">
        <f t="shared" si="11"/>
        <v>0</v>
      </c>
      <c r="AN17" s="370">
        <f t="shared" si="12"/>
        <v>0</v>
      </c>
      <c r="AO17" s="373">
        <f t="shared" si="13"/>
        <v>0</v>
      </c>
      <c r="AP17" s="373">
        <f t="shared" si="14"/>
        <v>0</v>
      </c>
      <c r="AQ17" s="373">
        <f t="shared" si="15"/>
        <v>0</v>
      </c>
      <c r="AR17" s="373">
        <f t="shared" si="16"/>
        <v>0</v>
      </c>
      <c r="AS17" s="371">
        <f t="shared" si="17"/>
        <v>0</v>
      </c>
      <c r="AT17" s="371">
        <f t="shared" si="18"/>
        <v>0</v>
      </c>
      <c r="AU17" s="366">
        <f>IF(Data!$H$8="x",AV17,AW17)</f>
        <v>2.5333333333333332</v>
      </c>
      <c r="AV17" s="366">
        <f t="shared" si="19"/>
        <v>1.2666666666666666</v>
      </c>
      <c r="AW17" s="366">
        <f>AW16</f>
        <v>2.5333333333333332</v>
      </c>
      <c r="AX17" s="362" t="str">
        <f t="shared" si="20"/>
        <v>Za</v>
      </c>
      <c r="AY17" s="371">
        <f>IF((R40="M2.1")*AND(R41&lt;&gt;""),VLOOKUP(R41,Barema!$AU$5:$AV$31,2),)</f>
        <v>0</v>
      </c>
      <c r="AZ17" s="371" t="s">
        <v>10</v>
      </c>
      <c r="BA17" s="439"/>
    </row>
    <row r="18" spans="1:53" s="376" customFormat="1" x14ac:dyDescent="0.2">
      <c r="A18" s="374"/>
      <c r="B18" s="362" t="s">
        <v>173</v>
      </c>
      <c r="C18" s="363" t="s">
        <v>424</v>
      </c>
      <c r="D18" s="364"/>
      <c r="E18" s="364"/>
      <c r="F18" s="365"/>
      <c r="G18" s="365"/>
      <c r="H18" s="365"/>
      <c r="I18" s="365"/>
      <c r="J18" s="365"/>
      <c r="K18" s="365"/>
      <c r="L18" s="366">
        <f>(G18-F18)+(I18-H18)+(K18-J18)</f>
        <v>0</v>
      </c>
      <c r="M18" s="366">
        <f t="shared" si="25"/>
        <v>0</v>
      </c>
      <c r="N18" s="382">
        <f>IF(Jun!$H$47="x",AU18+Jun!$N$36,AU18)</f>
        <v>2.5333333333333332</v>
      </c>
      <c r="O18" s="377" t="str">
        <f t="shared" si="21"/>
        <v>-</v>
      </c>
      <c r="P18" s="367">
        <f t="shared" si="22"/>
        <v>2.5333333333333332</v>
      </c>
      <c r="Q18" s="364">
        <f t="shared" si="0"/>
        <v>0</v>
      </c>
      <c r="R18" s="364">
        <f t="shared" si="1"/>
        <v>0</v>
      </c>
      <c r="S18" s="364">
        <f t="shared" si="2"/>
        <v>0</v>
      </c>
      <c r="T18" s="364">
        <f t="shared" si="3"/>
        <v>0</v>
      </c>
      <c r="U18" s="366">
        <f>L18</f>
        <v>0</v>
      </c>
      <c r="V18" s="366">
        <f t="shared" si="23"/>
        <v>0</v>
      </c>
      <c r="W18" s="366">
        <f t="shared" si="24"/>
        <v>0</v>
      </c>
      <c r="X18" s="364"/>
      <c r="Y18" s="365"/>
      <c r="Z18" s="365"/>
      <c r="AA18" s="368">
        <f t="shared" si="4"/>
        <v>0</v>
      </c>
      <c r="AB18" s="368">
        <f t="shared" si="5"/>
        <v>0</v>
      </c>
      <c r="AC18" s="368">
        <f t="shared" si="26"/>
        <v>0</v>
      </c>
      <c r="AD18" s="368">
        <f t="shared" si="6"/>
        <v>0</v>
      </c>
      <c r="AE18" s="369">
        <f t="shared" si="27"/>
        <v>0</v>
      </c>
      <c r="AF18" s="368">
        <f t="shared" si="28"/>
        <v>0</v>
      </c>
      <c r="AG18" s="369">
        <f t="shared" si="29"/>
        <v>0</v>
      </c>
      <c r="AH18" s="368">
        <f t="shared" si="7"/>
        <v>0</v>
      </c>
      <c r="AI18" s="370">
        <f>IF((D18&lt;&gt;""),VLOOKUP(D18,Data!$E$36:$H$53,4),)</f>
        <v>0</v>
      </c>
      <c r="AJ18" s="370">
        <f t="shared" si="8"/>
        <v>0</v>
      </c>
      <c r="AK18" s="371">
        <f t="shared" si="9"/>
        <v>0</v>
      </c>
      <c r="AL18" s="371">
        <f t="shared" si="10"/>
        <v>0</v>
      </c>
      <c r="AM18" s="372">
        <f t="shared" si="11"/>
        <v>0</v>
      </c>
      <c r="AN18" s="370">
        <f t="shared" si="12"/>
        <v>0</v>
      </c>
      <c r="AO18" s="373">
        <f t="shared" si="13"/>
        <v>0</v>
      </c>
      <c r="AP18" s="373">
        <f t="shared" si="14"/>
        <v>0</v>
      </c>
      <c r="AQ18" s="373">
        <f t="shared" si="15"/>
        <v>0</v>
      </c>
      <c r="AR18" s="373">
        <f t="shared" si="16"/>
        <v>0</v>
      </c>
      <c r="AS18" s="371">
        <f t="shared" si="17"/>
        <v>0</v>
      </c>
      <c r="AT18" s="371">
        <f t="shared" si="18"/>
        <v>0</v>
      </c>
      <c r="AU18" s="366">
        <f>IF(Data!$H$8="x",AV18,AW18)</f>
        <v>2.5333333333333332</v>
      </c>
      <c r="AV18" s="366">
        <f t="shared" si="19"/>
        <v>1.2666666666666666</v>
      </c>
      <c r="AW18" s="366">
        <f>AW17</f>
        <v>2.5333333333333332</v>
      </c>
      <c r="AX18" s="362" t="str">
        <f t="shared" si="20"/>
        <v>Zo</v>
      </c>
      <c r="AY18" s="371">
        <f>IF((R40="M2.2")*AND(R41&lt;&gt;""),VLOOKUP(R41,Barema!$AX$5:$AY$31,2),)</f>
        <v>0</v>
      </c>
      <c r="AZ18" s="371" t="s">
        <v>11</v>
      </c>
      <c r="BA18" s="439"/>
    </row>
    <row r="19" spans="1:53" s="378" customFormat="1" x14ac:dyDescent="0.2">
      <c r="A19" s="309"/>
      <c r="B19" s="6" t="s">
        <v>175</v>
      </c>
      <c r="C19" s="311" t="s">
        <v>425</v>
      </c>
      <c r="D19" s="312"/>
      <c r="E19" s="312"/>
      <c r="F19" s="274"/>
      <c r="G19" s="274"/>
      <c r="H19" s="310"/>
      <c r="I19" s="310"/>
      <c r="J19" s="310"/>
      <c r="K19" s="310"/>
      <c r="L19" s="313">
        <f>(G19-F19)+(I19-H19)+(K19-J19)+AI19+AN19</f>
        <v>0</v>
      </c>
      <c r="M19" s="313">
        <f t="shared" si="25"/>
        <v>0</v>
      </c>
      <c r="N19" s="338">
        <f>IF(Jun!$H$47="x",AU19+Jun!$N$36,AU19)</f>
        <v>2.8499999999999996</v>
      </c>
      <c r="O19" s="337" t="str">
        <f t="shared" si="21"/>
        <v>-</v>
      </c>
      <c r="P19" s="314">
        <f t="shared" si="22"/>
        <v>2.8499999999999996</v>
      </c>
      <c r="Q19" s="312">
        <f t="shared" si="0"/>
        <v>0</v>
      </c>
      <c r="R19" s="312">
        <f t="shared" si="1"/>
        <v>0</v>
      </c>
      <c r="S19" s="312">
        <f t="shared" si="2"/>
        <v>0</v>
      </c>
      <c r="T19" s="312">
        <f t="shared" si="3"/>
        <v>0</v>
      </c>
      <c r="U19" s="313">
        <f>IF(D19="F",L19,0)</f>
        <v>0</v>
      </c>
      <c r="V19" s="313">
        <f t="shared" si="23"/>
        <v>0</v>
      </c>
      <c r="W19" s="313">
        <f t="shared" si="24"/>
        <v>0</v>
      </c>
      <c r="X19" s="312"/>
      <c r="Y19" s="310"/>
      <c r="Z19" s="310"/>
      <c r="AA19" s="315">
        <f t="shared" si="4"/>
        <v>0</v>
      </c>
      <c r="AB19" s="315">
        <f t="shared" si="5"/>
        <v>0</v>
      </c>
      <c r="AC19" s="315">
        <f t="shared" si="26"/>
        <v>0</v>
      </c>
      <c r="AD19" s="315">
        <f t="shared" si="6"/>
        <v>0</v>
      </c>
      <c r="AE19" s="316">
        <f t="shared" si="27"/>
        <v>0</v>
      </c>
      <c r="AF19" s="315">
        <f t="shared" si="28"/>
        <v>0</v>
      </c>
      <c r="AG19" s="316">
        <f t="shared" si="29"/>
        <v>0</v>
      </c>
      <c r="AH19" s="315">
        <f t="shared" si="7"/>
        <v>0</v>
      </c>
      <c r="AI19" s="123">
        <f>IF((D19&lt;&gt;""),VLOOKUP(D19,Data!$E$36:$H$53,4),)</f>
        <v>0</v>
      </c>
      <c r="AJ19" s="123">
        <f t="shared" si="8"/>
        <v>0</v>
      </c>
      <c r="AK19" s="4">
        <f t="shared" si="9"/>
        <v>0</v>
      </c>
      <c r="AL19" s="4">
        <f t="shared" si="10"/>
        <v>0</v>
      </c>
      <c r="AM19" s="1">
        <f t="shared" si="11"/>
        <v>0</v>
      </c>
      <c r="AN19" s="123">
        <f t="shared" si="12"/>
        <v>0</v>
      </c>
      <c r="AO19" s="317">
        <f t="shared" si="13"/>
        <v>0</v>
      </c>
      <c r="AP19" s="317">
        <f t="shared" si="14"/>
        <v>0</v>
      </c>
      <c r="AQ19" s="317">
        <f t="shared" si="15"/>
        <v>0</v>
      </c>
      <c r="AR19" s="317">
        <f t="shared" si="16"/>
        <v>0</v>
      </c>
      <c r="AS19" s="4">
        <f t="shared" si="17"/>
        <v>0</v>
      </c>
      <c r="AT19" s="4">
        <f t="shared" si="18"/>
        <v>0</v>
      </c>
      <c r="AU19" s="313">
        <f>IF(Data!$H$8="x",AV19,AW19)</f>
        <v>2.8499999999999996</v>
      </c>
      <c r="AV19" s="313">
        <f t="shared" si="19"/>
        <v>1.4249999999999998</v>
      </c>
      <c r="AW19" s="313">
        <f>IF(D19="V",AW18,(AW18+"07:36"))</f>
        <v>2.8499999999999996</v>
      </c>
      <c r="AX19" s="6" t="str">
        <f t="shared" si="20"/>
        <v>Ma</v>
      </c>
      <c r="AY19" s="4">
        <f>IF((R40="M3.1")*AND(R41&lt;&gt;""),VLOOKUP(R41,Barema!$BA$5:$BB$31,2),)</f>
        <v>0</v>
      </c>
      <c r="AZ19" s="4" t="s">
        <v>12</v>
      </c>
      <c r="BA19" s="102"/>
    </row>
    <row r="20" spans="1:53" s="378" customFormat="1" x14ac:dyDescent="0.2">
      <c r="A20" s="309"/>
      <c r="B20" s="6" t="s">
        <v>177</v>
      </c>
      <c r="C20" s="311" t="s">
        <v>426</v>
      </c>
      <c r="D20" s="312"/>
      <c r="E20" s="312"/>
      <c r="F20" s="274"/>
      <c r="G20" s="274"/>
      <c r="H20" s="310"/>
      <c r="I20" s="310"/>
      <c r="J20" s="310"/>
      <c r="K20" s="310"/>
      <c r="L20" s="313">
        <f>(G20-F20)+(I20-H20)+(K20-J20)+AI20+AN20</f>
        <v>0</v>
      </c>
      <c r="M20" s="313">
        <f t="shared" si="25"/>
        <v>0</v>
      </c>
      <c r="N20" s="338">
        <f>IF(Jun!$H$47="x",AU20+Jun!$N$36,AU20)</f>
        <v>3.1666666666666661</v>
      </c>
      <c r="O20" s="337" t="str">
        <f t="shared" si="21"/>
        <v>-</v>
      </c>
      <c r="P20" s="314">
        <f t="shared" si="22"/>
        <v>3.1666666666666661</v>
      </c>
      <c r="Q20" s="312">
        <f t="shared" si="0"/>
        <v>0</v>
      </c>
      <c r="R20" s="312">
        <f t="shared" si="1"/>
        <v>0</v>
      </c>
      <c r="S20" s="312">
        <f t="shared" si="2"/>
        <v>0</v>
      </c>
      <c r="T20" s="312">
        <f t="shared" si="3"/>
        <v>0</v>
      </c>
      <c r="U20" s="313">
        <f>IF(D20="F",L20,0)</f>
        <v>0</v>
      </c>
      <c r="V20" s="313">
        <f t="shared" si="23"/>
        <v>0</v>
      </c>
      <c r="W20" s="313">
        <f t="shared" si="24"/>
        <v>0</v>
      </c>
      <c r="X20" s="312"/>
      <c r="Y20" s="310"/>
      <c r="Z20" s="310"/>
      <c r="AA20" s="315">
        <f t="shared" si="4"/>
        <v>0</v>
      </c>
      <c r="AB20" s="315">
        <f t="shared" si="5"/>
        <v>0</v>
      </c>
      <c r="AC20" s="315">
        <f t="shared" si="26"/>
        <v>0</v>
      </c>
      <c r="AD20" s="315">
        <f t="shared" si="6"/>
        <v>0</v>
      </c>
      <c r="AE20" s="316">
        <f t="shared" si="27"/>
        <v>0</v>
      </c>
      <c r="AF20" s="315">
        <f t="shared" si="28"/>
        <v>0</v>
      </c>
      <c r="AG20" s="316">
        <f t="shared" si="29"/>
        <v>0</v>
      </c>
      <c r="AH20" s="315">
        <f t="shared" si="7"/>
        <v>0</v>
      </c>
      <c r="AI20" s="123">
        <f>IF((D20&lt;&gt;""),VLOOKUP(D20,Data!$E$36:$H$53,4),)</f>
        <v>0</v>
      </c>
      <c r="AJ20" s="123">
        <f t="shared" si="8"/>
        <v>0</v>
      </c>
      <c r="AK20" s="4">
        <f t="shared" si="9"/>
        <v>0</v>
      </c>
      <c r="AL20" s="4">
        <f t="shared" si="10"/>
        <v>0</v>
      </c>
      <c r="AM20" s="1">
        <f t="shared" si="11"/>
        <v>0</v>
      </c>
      <c r="AN20" s="123">
        <f t="shared" si="12"/>
        <v>0</v>
      </c>
      <c r="AO20" s="317">
        <f t="shared" si="13"/>
        <v>0</v>
      </c>
      <c r="AP20" s="317">
        <f t="shared" si="14"/>
        <v>0</v>
      </c>
      <c r="AQ20" s="317">
        <f t="shared" si="15"/>
        <v>0</v>
      </c>
      <c r="AR20" s="317">
        <f t="shared" si="16"/>
        <v>0</v>
      </c>
      <c r="AS20" s="4">
        <f t="shared" si="17"/>
        <v>0</v>
      </c>
      <c r="AT20" s="4">
        <f t="shared" si="18"/>
        <v>0</v>
      </c>
      <c r="AU20" s="313">
        <f>IF(Data!$H$8="x",AV20,AW20)</f>
        <v>3.1666666666666661</v>
      </c>
      <c r="AV20" s="313">
        <f t="shared" si="19"/>
        <v>1.583333333333333</v>
      </c>
      <c r="AW20" s="313">
        <f>IF(D20="V",AW19,(AW19+"07:36"))</f>
        <v>3.1666666666666661</v>
      </c>
      <c r="AX20" s="6" t="str">
        <f t="shared" si="20"/>
        <v>Di</v>
      </c>
      <c r="AY20" s="4">
        <f>IF((R40="M3.2")*AND(R41&lt;&gt;""),VLOOKUP(R41,Barema!$BD$5:$BE$31,2),)</f>
        <v>0</v>
      </c>
      <c r="AZ20" s="4" t="s">
        <v>13</v>
      </c>
      <c r="BA20" s="102"/>
    </row>
    <row r="21" spans="1:53" s="378" customFormat="1" x14ac:dyDescent="0.2">
      <c r="A21" s="309"/>
      <c r="B21" s="6" t="s">
        <v>179</v>
      </c>
      <c r="C21" s="311" t="s">
        <v>427</v>
      </c>
      <c r="D21" s="312"/>
      <c r="E21" s="312"/>
      <c r="F21" s="274"/>
      <c r="G21" s="274"/>
      <c r="H21" s="310"/>
      <c r="I21" s="310"/>
      <c r="J21" s="417"/>
      <c r="K21" s="417"/>
      <c r="L21" s="313">
        <f>(G21-F21)+(I21-H21)+(K21-J21)+AI21+AN21</f>
        <v>0</v>
      </c>
      <c r="M21" s="313">
        <f>M20+L21</f>
        <v>0</v>
      </c>
      <c r="N21" s="338">
        <f>IF(Jun!$H$47="x",AU21+Jun!$N$36,AU21)</f>
        <v>3.4833333333333325</v>
      </c>
      <c r="O21" s="337" t="str">
        <f t="shared" si="21"/>
        <v>-</v>
      </c>
      <c r="P21" s="314">
        <f t="shared" si="22"/>
        <v>3.4833333333333325</v>
      </c>
      <c r="Q21" s="312">
        <f t="shared" si="0"/>
        <v>0</v>
      </c>
      <c r="R21" s="312">
        <f t="shared" si="1"/>
        <v>0</v>
      </c>
      <c r="S21" s="312">
        <f t="shared" si="2"/>
        <v>0</v>
      </c>
      <c r="T21" s="312">
        <f t="shared" si="3"/>
        <v>0</v>
      </c>
      <c r="U21" s="313">
        <f>IF(D21="F",L21,0)</f>
        <v>0</v>
      </c>
      <c r="V21" s="313">
        <f t="shared" si="23"/>
        <v>0</v>
      </c>
      <c r="W21" s="313">
        <f t="shared" si="24"/>
        <v>0</v>
      </c>
      <c r="X21" s="312"/>
      <c r="Y21" s="310"/>
      <c r="Z21" s="310"/>
      <c r="AA21" s="315">
        <f t="shared" si="4"/>
        <v>0</v>
      </c>
      <c r="AB21" s="315">
        <f t="shared" si="5"/>
        <v>0</v>
      </c>
      <c r="AC21" s="315">
        <f t="shared" si="26"/>
        <v>0</v>
      </c>
      <c r="AD21" s="315">
        <f t="shared" si="6"/>
        <v>0</v>
      </c>
      <c r="AE21" s="316">
        <f t="shared" si="27"/>
        <v>0</v>
      </c>
      <c r="AF21" s="315">
        <f t="shared" si="28"/>
        <v>0</v>
      </c>
      <c r="AG21" s="316">
        <f t="shared" si="29"/>
        <v>0</v>
      </c>
      <c r="AH21" s="315">
        <f t="shared" si="7"/>
        <v>0</v>
      </c>
      <c r="AI21" s="123">
        <f>IF((D21&lt;&gt;""),VLOOKUP(D21,Data!$E$36:$H$53,4),)</f>
        <v>0</v>
      </c>
      <c r="AJ21" s="123">
        <f t="shared" si="8"/>
        <v>0</v>
      </c>
      <c r="AK21" s="4">
        <f t="shared" si="9"/>
        <v>0</v>
      </c>
      <c r="AL21" s="4">
        <f t="shared" si="10"/>
        <v>0</v>
      </c>
      <c r="AM21" s="1">
        <f t="shared" si="11"/>
        <v>0</v>
      </c>
      <c r="AN21" s="123">
        <f t="shared" si="12"/>
        <v>0</v>
      </c>
      <c r="AO21" s="317">
        <f t="shared" si="13"/>
        <v>0</v>
      </c>
      <c r="AP21" s="317">
        <f t="shared" si="14"/>
        <v>0</v>
      </c>
      <c r="AQ21" s="317">
        <f t="shared" si="15"/>
        <v>0</v>
      </c>
      <c r="AR21" s="317">
        <f t="shared" si="16"/>
        <v>0</v>
      </c>
      <c r="AS21" s="4">
        <f t="shared" si="17"/>
        <v>0</v>
      </c>
      <c r="AT21" s="4">
        <f t="shared" si="18"/>
        <v>0</v>
      </c>
      <c r="AU21" s="313">
        <f>IF(Data!$H$8="x",AV21,AW21)</f>
        <v>3.4833333333333325</v>
      </c>
      <c r="AV21" s="313">
        <f t="shared" si="19"/>
        <v>1.7416666666666663</v>
      </c>
      <c r="AW21" s="313">
        <f>IF(D21="V",AW20,(AW20+"07:36"))</f>
        <v>3.4833333333333325</v>
      </c>
      <c r="AX21" s="6" t="str">
        <f t="shared" si="20"/>
        <v>Wo</v>
      </c>
      <c r="AY21" s="4">
        <f>IF((R40="M4.1")*AND(R41&lt;&gt;""),VLOOKUP(R41,Barema!$BG$5:$BH$34,2),)</f>
        <v>0</v>
      </c>
      <c r="AZ21" s="4" t="s">
        <v>14</v>
      </c>
      <c r="BA21" s="102"/>
    </row>
    <row r="22" spans="1:53" s="378" customFormat="1" x14ac:dyDescent="0.2">
      <c r="A22" s="309"/>
      <c r="B22" s="6" t="s">
        <v>167</v>
      </c>
      <c r="C22" s="311" t="s">
        <v>428</v>
      </c>
      <c r="D22" s="312"/>
      <c r="E22" s="312"/>
      <c r="F22" s="274"/>
      <c r="G22" s="274"/>
      <c r="H22" s="310"/>
      <c r="I22" s="310"/>
      <c r="J22" s="417"/>
      <c r="K22" s="417"/>
      <c r="L22" s="313">
        <f>(G22-F22)+(I22-H22)+(K22-J22)+AI22+AN22</f>
        <v>0</v>
      </c>
      <c r="M22" s="313">
        <f>M21+L22</f>
        <v>0</v>
      </c>
      <c r="N22" s="338">
        <f>IF(Jun!$H$47="x",AU22+Jun!$N$36,AU22)</f>
        <v>3.7999999999999989</v>
      </c>
      <c r="O22" s="337" t="str">
        <f t="shared" si="21"/>
        <v>-</v>
      </c>
      <c r="P22" s="314">
        <f t="shared" si="22"/>
        <v>3.7999999999999989</v>
      </c>
      <c r="Q22" s="312">
        <f t="shared" si="0"/>
        <v>0</v>
      </c>
      <c r="R22" s="312">
        <f t="shared" si="1"/>
        <v>0</v>
      </c>
      <c r="S22" s="312">
        <f t="shared" si="2"/>
        <v>0</v>
      </c>
      <c r="T22" s="312">
        <f t="shared" si="3"/>
        <v>0</v>
      </c>
      <c r="U22" s="313">
        <f>IF(D22="F",L22,0)</f>
        <v>0</v>
      </c>
      <c r="V22" s="313">
        <f t="shared" si="23"/>
        <v>0</v>
      </c>
      <c r="W22" s="313">
        <f t="shared" si="24"/>
        <v>0</v>
      </c>
      <c r="X22" s="312"/>
      <c r="Y22" s="310"/>
      <c r="Z22" s="310"/>
      <c r="AA22" s="315">
        <f t="shared" si="4"/>
        <v>0</v>
      </c>
      <c r="AB22" s="315">
        <f t="shared" si="5"/>
        <v>0</v>
      </c>
      <c r="AC22" s="315">
        <f t="shared" si="26"/>
        <v>0</v>
      </c>
      <c r="AD22" s="315">
        <f t="shared" si="6"/>
        <v>0</v>
      </c>
      <c r="AE22" s="316">
        <f t="shared" si="27"/>
        <v>0</v>
      </c>
      <c r="AF22" s="315">
        <f t="shared" si="28"/>
        <v>0</v>
      </c>
      <c r="AG22" s="316">
        <f t="shared" si="29"/>
        <v>0</v>
      </c>
      <c r="AH22" s="315">
        <f t="shared" si="7"/>
        <v>0</v>
      </c>
      <c r="AI22" s="123">
        <f>IF((D22&lt;&gt;""),VLOOKUP(D22,Data!$E$36:$H$53,4),)</f>
        <v>0</v>
      </c>
      <c r="AJ22" s="123">
        <f t="shared" si="8"/>
        <v>0</v>
      </c>
      <c r="AK22" s="4">
        <f t="shared" si="9"/>
        <v>0</v>
      </c>
      <c r="AL22" s="4">
        <f t="shared" si="10"/>
        <v>0</v>
      </c>
      <c r="AM22" s="1">
        <f t="shared" si="11"/>
        <v>0</v>
      </c>
      <c r="AN22" s="123">
        <f t="shared" si="12"/>
        <v>0</v>
      </c>
      <c r="AO22" s="317">
        <f t="shared" si="13"/>
        <v>0</v>
      </c>
      <c r="AP22" s="317">
        <f t="shared" si="14"/>
        <v>0</v>
      </c>
      <c r="AQ22" s="317">
        <f t="shared" si="15"/>
        <v>0</v>
      </c>
      <c r="AR22" s="317">
        <f t="shared" si="16"/>
        <v>0</v>
      </c>
      <c r="AS22" s="4">
        <f t="shared" si="17"/>
        <v>0</v>
      </c>
      <c r="AT22" s="4">
        <f t="shared" si="18"/>
        <v>0</v>
      </c>
      <c r="AU22" s="313">
        <f>IF(Data!$H$8="x",AV22,AW22)</f>
        <v>3.7999999999999989</v>
      </c>
      <c r="AV22" s="313">
        <f t="shared" si="19"/>
        <v>1.8999999999999995</v>
      </c>
      <c r="AW22" s="313">
        <f>IF(D22="V",AW21,(AW21+"07:36"))</f>
        <v>3.7999999999999989</v>
      </c>
      <c r="AX22" s="6" t="str">
        <f t="shared" si="20"/>
        <v>Do</v>
      </c>
      <c r="AY22" s="4">
        <f>IF((R40="M4.2")*AND(R41&lt;&gt;""),VLOOKUP(R41,Barema!$BJ$5:$BK$31,2),)</f>
        <v>0</v>
      </c>
      <c r="AZ22" s="4" t="s">
        <v>15</v>
      </c>
      <c r="BA22" s="102"/>
    </row>
    <row r="23" spans="1:53" s="378" customFormat="1" x14ac:dyDescent="0.2">
      <c r="A23" s="309"/>
      <c r="B23" s="6" t="s">
        <v>169</v>
      </c>
      <c r="C23" s="311" t="s">
        <v>429</v>
      </c>
      <c r="D23" s="312"/>
      <c r="E23" s="312"/>
      <c r="F23" s="274"/>
      <c r="G23" s="274"/>
      <c r="H23" s="310"/>
      <c r="I23" s="310"/>
      <c r="J23" s="310"/>
      <c r="K23" s="310"/>
      <c r="L23" s="313">
        <f>(G23-F23)+(I23-H23)+(K23-J23)+AI23+AN23</f>
        <v>0</v>
      </c>
      <c r="M23" s="313">
        <f t="shared" si="25"/>
        <v>0</v>
      </c>
      <c r="N23" s="338">
        <f>IF(Jun!$H$47="x",AU23+Jun!$N$36,AU23)</f>
        <v>4.1166666666666654</v>
      </c>
      <c r="O23" s="337" t="str">
        <f t="shared" si="21"/>
        <v>-</v>
      </c>
      <c r="P23" s="314">
        <f t="shared" si="22"/>
        <v>4.1166666666666654</v>
      </c>
      <c r="Q23" s="312">
        <f t="shared" si="0"/>
        <v>0</v>
      </c>
      <c r="R23" s="312">
        <f t="shared" si="1"/>
        <v>0</v>
      </c>
      <c r="S23" s="312">
        <f t="shared" si="2"/>
        <v>0</v>
      </c>
      <c r="T23" s="312">
        <f t="shared" si="3"/>
        <v>0</v>
      </c>
      <c r="U23" s="313">
        <f>IF(D23="F",L23,0)</f>
        <v>0</v>
      </c>
      <c r="V23" s="313">
        <f t="shared" si="23"/>
        <v>0</v>
      </c>
      <c r="W23" s="313">
        <f t="shared" si="24"/>
        <v>0</v>
      </c>
      <c r="X23" s="312"/>
      <c r="Y23" s="310"/>
      <c r="Z23" s="310"/>
      <c r="AA23" s="315">
        <f t="shared" si="4"/>
        <v>0</v>
      </c>
      <c r="AB23" s="315">
        <f t="shared" si="5"/>
        <v>0</v>
      </c>
      <c r="AC23" s="315">
        <f t="shared" si="26"/>
        <v>0</v>
      </c>
      <c r="AD23" s="315">
        <f t="shared" si="6"/>
        <v>0</v>
      </c>
      <c r="AE23" s="316">
        <f t="shared" si="27"/>
        <v>0</v>
      </c>
      <c r="AF23" s="315">
        <f t="shared" si="28"/>
        <v>0</v>
      </c>
      <c r="AG23" s="316">
        <f t="shared" si="29"/>
        <v>0</v>
      </c>
      <c r="AH23" s="315">
        <f t="shared" si="7"/>
        <v>0</v>
      </c>
      <c r="AI23" s="123">
        <f>IF((D23&lt;&gt;""),VLOOKUP(D23,Data!$E$36:$H$53,4),)</f>
        <v>0</v>
      </c>
      <c r="AJ23" s="123">
        <f t="shared" si="8"/>
        <v>0</v>
      </c>
      <c r="AK23" s="4">
        <f t="shared" si="9"/>
        <v>0</v>
      </c>
      <c r="AL23" s="4">
        <f t="shared" si="10"/>
        <v>0</v>
      </c>
      <c r="AM23" s="1">
        <f t="shared" si="11"/>
        <v>0</v>
      </c>
      <c r="AN23" s="123">
        <f t="shared" si="12"/>
        <v>0</v>
      </c>
      <c r="AO23" s="317">
        <f t="shared" si="13"/>
        <v>0</v>
      </c>
      <c r="AP23" s="317">
        <f t="shared" si="14"/>
        <v>0</v>
      </c>
      <c r="AQ23" s="317">
        <f t="shared" si="15"/>
        <v>0</v>
      </c>
      <c r="AR23" s="317">
        <f t="shared" si="16"/>
        <v>0</v>
      </c>
      <c r="AS23" s="4">
        <f t="shared" si="17"/>
        <v>0</v>
      </c>
      <c r="AT23" s="4">
        <f t="shared" si="18"/>
        <v>0</v>
      </c>
      <c r="AU23" s="313">
        <f>IF(Data!$H$8="x",AV23,AW23)</f>
        <v>4.1166666666666654</v>
      </c>
      <c r="AV23" s="313">
        <f t="shared" si="19"/>
        <v>2.0583333333333327</v>
      </c>
      <c r="AW23" s="313">
        <f>IF(D23="V",AW22,(AW22+"07:36"))</f>
        <v>4.1166666666666654</v>
      </c>
      <c r="AX23" s="6" t="str">
        <f t="shared" si="20"/>
        <v>Vr</v>
      </c>
      <c r="AY23" s="4">
        <f>IF((R40="M5.1")*AND(R41&lt;&gt;""),VLOOKUP(R41,Barema!$BM$5:$BN$34,2),)</f>
        <v>33228</v>
      </c>
      <c r="AZ23" s="4" t="s">
        <v>16</v>
      </c>
      <c r="BA23" s="102"/>
    </row>
    <row r="24" spans="1:53" s="376" customFormat="1" x14ac:dyDescent="0.2">
      <c r="A24" s="374"/>
      <c r="B24" s="362" t="s">
        <v>171</v>
      </c>
      <c r="C24" s="363" t="s">
        <v>430</v>
      </c>
      <c r="D24" s="364"/>
      <c r="E24" s="364"/>
      <c r="F24" s="365"/>
      <c r="G24" s="365"/>
      <c r="H24" s="365"/>
      <c r="I24" s="365"/>
      <c r="J24" s="365"/>
      <c r="K24" s="365"/>
      <c r="L24" s="366">
        <f>(G24-F24)+(I24-H24)+(K24-J24)</f>
        <v>0</v>
      </c>
      <c r="M24" s="366">
        <f t="shared" si="25"/>
        <v>0</v>
      </c>
      <c r="N24" s="382">
        <f>IF(Jun!$H$47="x",AU24+Jun!$N$36,AU24)</f>
        <v>4.1166666666666654</v>
      </c>
      <c r="O24" s="377" t="str">
        <f t="shared" si="21"/>
        <v>-</v>
      </c>
      <c r="P24" s="367">
        <f t="shared" si="22"/>
        <v>4.1166666666666654</v>
      </c>
      <c r="Q24" s="364">
        <f t="shared" si="0"/>
        <v>0</v>
      </c>
      <c r="R24" s="364">
        <f t="shared" si="1"/>
        <v>0</v>
      </c>
      <c r="S24" s="364">
        <f t="shared" si="2"/>
        <v>0</v>
      </c>
      <c r="T24" s="364">
        <f t="shared" si="3"/>
        <v>0</v>
      </c>
      <c r="U24" s="366">
        <f>L24</f>
        <v>0</v>
      </c>
      <c r="V24" s="366">
        <f t="shared" si="23"/>
        <v>0</v>
      </c>
      <c r="W24" s="366">
        <f t="shared" si="24"/>
        <v>0</v>
      </c>
      <c r="X24" s="364"/>
      <c r="Y24" s="365"/>
      <c r="Z24" s="365"/>
      <c r="AA24" s="368">
        <f t="shared" si="4"/>
        <v>0</v>
      </c>
      <c r="AB24" s="368">
        <f t="shared" si="5"/>
        <v>0</v>
      </c>
      <c r="AC24" s="368">
        <f t="shared" si="26"/>
        <v>0</v>
      </c>
      <c r="AD24" s="368">
        <f t="shared" si="6"/>
        <v>0</v>
      </c>
      <c r="AE24" s="369">
        <f t="shared" si="27"/>
        <v>0</v>
      </c>
      <c r="AF24" s="368">
        <f t="shared" si="28"/>
        <v>0</v>
      </c>
      <c r="AG24" s="369">
        <f t="shared" si="29"/>
        <v>0</v>
      </c>
      <c r="AH24" s="368">
        <f t="shared" si="7"/>
        <v>0</v>
      </c>
      <c r="AI24" s="370">
        <f>IF((D24&lt;&gt;""),VLOOKUP(D24,Data!$E$36:$H$53,4),)</f>
        <v>0</v>
      </c>
      <c r="AJ24" s="370">
        <f t="shared" si="8"/>
        <v>0</v>
      </c>
      <c r="AK24" s="371">
        <f t="shared" si="9"/>
        <v>0</v>
      </c>
      <c r="AL24" s="371">
        <f t="shared" si="10"/>
        <v>0</v>
      </c>
      <c r="AM24" s="372">
        <f t="shared" si="11"/>
        <v>0</v>
      </c>
      <c r="AN24" s="370">
        <f t="shared" si="12"/>
        <v>0</v>
      </c>
      <c r="AO24" s="373">
        <f t="shared" si="13"/>
        <v>0</v>
      </c>
      <c r="AP24" s="373">
        <f t="shared" si="14"/>
        <v>0</v>
      </c>
      <c r="AQ24" s="373">
        <f t="shared" si="15"/>
        <v>0</v>
      </c>
      <c r="AR24" s="373">
        <f t="shared" si="16"/>
        <v>0</v>
      </c>
      <c r="AS24" s="371">
        <f t="shared" si="17"/>
        <v>0</v>
      </c>
      <c r="AT24" s="371">
        <f t="shared" si="18"/>
        <v>0</v>
      </c>
      <c r="AU24" s="366">
        <f>IF(Data!$H$8="x",AV24,AW24)</f>
        <v>4.1166666666666654</v>
      </c>
      <c r="AV24" s="366">
        <f t="shared" si="19"/>
        <v>2.0583333333333327</v>
      </c>
      <c r="AW24" s="366">
        <f>AW23</f>
        <v>4.1166666666666654</v>
      </c>
      <c r="AX24" s="362" t="str">
        <f t="shared" si="20"/>
        <v>Za</v>
      </c>
      <c r="AY24" s="371">
        <f>IF((R40="M5.2")*AND(R41&lt;&gt;""),VLOOKUP(R41,Barema!$BP$5:$BQ$31,2),)</f>
        <v>0</v>
      </c>
      <c r="AZ24" s="371" t="s">
        <v>17</v>
      </c>
      <c r="BA24" s="439"/>
    </row>
    <row r="25" spans="1:53" s="376" customFormat="1" x14ac:dyDescent="0.2">
      <c r="A25" s="374"/>
      <c r="B25" s="362" t="s">
        <v>173</v>
      </c>
      <c r="C25" s="363" t="s">
        <v>431</v>
      </c>
      <c r="D25" s="364"/>
      <c r="E25" s="364"/>
      <c r="F25" s="365"/>
      <c r="G25" s="365"/>
      <c r="H25" s="365"/>
      <c r="I25" s="365"/>
      <c r="J25" s="365"/>
      <c r="K25" s="365"/>
      <c r="L25" s="366">
        <f>(G25-F25)+(I25-H25)+(K25-J25)</f>
        <v>0</v>
      </c>
      <c r="M25" s="366">
        <f t="shared" si="25"/>
        <v>0</v>
      </c>
      <c r="N25" s="382">
        <f>IF(Jun!$H$47="x",AU25+Jun!$N$36,AU25)</f>
        <v>4.1166666666666654</v>
      </c>
      <c r="O25" s="377" t="str">
        <f t="shared" si="21"/>
        <v>-</v>
      </c>
      <c r="P25" s="367">
        <f t="shared" si="22"/>
        <v>4.1166666666666654</v>
      </c>
      <c r="Q25" s="364">
        <f t="shared" si="0"/>
        <v>0</v>
      </c>
      <c r="R25" s="364">
        <f t="shared" si="1"/>
        <v>0</v>
      </c>
      <c r="S25" s="364">
        <f t="shared" si="2"/>
        <v>0</v>
      </c>
      <c r="T25" s="364">
        <f t="shared" si="3"/>
        <v>0</v>
      </c>
      <c r="U25" s="366">
        <f>L25</f>
        <v>0</v>
      </c>
      <c r="V25" s="366">
        <f t="shared" si="23"/>
        <v>0</v>
      </c>
      <c r="W25" s="366">
        <f t="shared" si="24"/>
        <v>0</v>
      </c>
      <c r="X25" s="364"/>
      <c r="Y25" s="365"/>
      <c r="Z25" s="365"/>
      <c r="AA25" s="368">
        <f t="shared" si="4"/>
        <v>0</v>
      </c>
      <c r="AB25" s="368">
        <f t="shared" si="5"/>
        <v>0</v>
      </c>
      <c r="AC25" s="368">
        <f t="shared" si="26"/>
        <v>0</v>
      </c>
      <c r="AD25" s="368">
        <f t="shared" si="6"/>
        <v>0</v>
      </c>
      <c r="AE25" s="369">
        <f t="shared" si="27"/>
        <v>0</v>
      </c>
      <c r="AF25" s="368">
        <f t="shared" si="28"/>
        <v>0</v>
      </c>
      <c r="AG25" s="369">
        <f t="shared" si="29"/>
        <v>0</v>
      </c>
      <c r="AH25" s="368">
        <f t="shared" si="7"/>
        <v>0</v>
      </c>
      <c r="AI25" s="370">
        <f>IF((D25&lt;&gt;""),VLOOKUP(D25,Data!$E$36:$H$53,4),)</f>
        <v>0</v>
      </c>
      <c r="AJ25" s="370">
        <f t="shared" si="8"/>
        <v>0</v>
      </c>
      <c r="AK25" s="371">
        <f t="shared" si="9"/>
        <v>0</v>
      </c>
      <c r="AL25" s="371">
        <f t="shared" si="10"/>
        <v>0</v>
      </c>
      <c r="AM25" s="372">
        <f t="shared" si="11"/>
        <v>0</v>
      </c>
      <c r="AN25" s="370">
        <f t="shared" si="12"/>
        <v>0</v>
      </c>
      <c r="AO25" s="373">
        <f t="shared" si="13"/>
        <v>0</v>
      </c>
      <c r="AP25" s="373">
        <f t="shared" si="14"/>
        <v>0</v>
      </c>
      <c r="AQ25" s="373">
        <f t="shared" si="15"/>
        <v>0</v>
      </c>
      <c r="AR25" s="373">
        <f t="shared" si="16"/>
        <v>0</v>
      </c>
      <c r="AS25" s="371">
        <f t="shared" si="17"/>
        <v>0</v>
      </c>
      <c r="AT25" s="371">
        <f t="shared" si="18"/>
        <v>0</v>
      </c>
      <c r="AU25" s="366">
        <f>IF(Data!$H$8="x",AV25,AW25)</f>
        <v>4.1166666666666654</v>
      </c>
      <c r="AV25" s="366">
        <f t="shared" si="19"/>
        <v>2.0583333333333327</v>
      </c>
      <c r="AW25" s="366">
        <f>AW24</f>
        <v>4.1166666666666654</v>
      </c>
      <c r="AX25" s="362" t="str">
        <f t="shared" si="20"/>
        <v>Zo</v>
      </c>
      <c r="AY25" s="371">
        <f>IF((R40="M6")*AND(R41&lt;&gt;""),VLOOKUP(R41,Barema!$BS$5:$BT$31,2),)</f>
        <v>0</v>
      </c>
      <c r="AZ25" s="371" t="s">
        <v>18</v>
      </c>
      <c r="BA25" s="439"/>
    </row>
    <row r="26" spans="1:53" s="378" customFormat="1" x14ac:dyDescent="0.2">
      <c r="A26" s="309"/>
      <c r="B26" s="6" t="s">
        <v>175</v>
      </c>
      <c r="C26" s="311" t="s">
        <v>432</v>
      </c>
      <c r="D26" s="312"/>
      <c r="E26" s="312"/>
      <c r="F26" s="274"/>
      <c r="G26" s="274"/>
      <c r="H26" s="310"/>
      <c r="I26" s="310"/>
      <c r="J26" s="310"/>
      <c r="K26" s="310"/>
      <c r="L26" s="313">
        <f>(G26-F26)+(I26-H26)+(K26-J26)+AI26+AN26</f>
        <v>0</v>
      </c>
      <c r="M26" s="313">
        <f t="shared" si="25"/>
        <v>0</v>
      </c>
      <c r="N26" s="338">
        <f>IF(Jun!$H$47="x",AU26+Jun!$N$36,AU26)</f>
        <v>4.4333333333333318</v>
      </c>
      <c r="O26" s="337" t="str">
        <f t="shared" si="21"/>
        <v>-</v>
      </c>
      <c r="P26" s="314">
        <f t="shared" si="22"/>
        <v>4.4333333333333318</v>
      </c>
      <c r="Q26" s="312">
        <f t="shared" si="0"/>
        <v>0</v>
      </c>
      <c r="R26" s="312">
        <f t="shared" si="1"/>
        <v>0</v>
      </c>
      <c r="S26" s="312">
        <f t="shared" si="2"/>
        <v>0</v>
      </c>
      <c r="T26" s="312">
        <f t="shared" si="3"/>
        <v>0</v>
      </c>
      <c r="U26" s="313">
        <f>IF(D26="F",L26,0)</f>
        <v>0</v>
      </c>
      <c r="V26" s="313">
        <f t="shared" si="23"/>
        <v>0</v>
      </c>
      <c r="W26" s="313">
        <f t="shared" si="24"/>
        <v>0</v>
      </c>
      <c r="X26" s="312"/>
      <c r="Y26" s="310"/>
      <c r="Z26" s="310"/>
      <c r="AA26" s="315">
        <f t="shared" si="4"/>
        <v>0</v>
      </c>
      <c r="AB26" s="315">
        <f t="shared" si="5"/>
        <v>0</v>
      </c>
      <c r="AC26" s="315">
        <f t="shared" si="26"/>
        <v>0</v>
      </c>
      <c r="AD26" s="315">
        <f t="shared" si="6"/>
        <v>0</v>
      </c>
      <c r="AE26" s="316">
        <f t="shared" si="27"/>
        <v>0</v>
      </c>
      <c r="AF26" s="315">
        <f t="shared" si="28"/>
        <v>0</v>
      </c>
      <c r="AG26" s="316">
        <f t="shared" si="29"/>
        <v>0</v>
      </c>
      <c r="AH26" s="315">
        <f t="shared" si="7"/>
        <v>0</v>
      </c>
      <c r="AI26" s="123">
        <f>IF((D26&lt;&gt;""),VLOOKUP(D26,Data!$E$36:$H$53,4),)</f>
        <v>0</v>
      </c>
      <c r="AJ26" s="123">
        <f t="shared" si="8"/>
        <v>0</v>
      </c>
      <c r="AK26" s="4">
        <f t="shared" si="9"/>
        <v>0</v>
      </c>
      <c r="AL26" s="4">
        <f t="shared" si="10"/>
        <v>0</v>
      </c>
      <c r="AM26" s="1">
        <f t="shared" si="11"/>
        <v>0</v>
      </c>
      <c r="AN26" s="123">
        <f t="shared" si="12"/>
        <v>0</v>
      </c>
      <c r="AO26" s="317">
        <f t="shared" si="13"/>
        <v>0</v>
      </c>
      <c r="AP26" s="317">
        <f t="shared" si="14"/>
        <v>0</v>
      </c>
      <c r="AQ26" s="317">
        <f t="shared" si="15"/>
        <v>0</v>
      </c>
      <c r="AR26" s="317">
        <f t="shared" si="16"/>
        <v>0</v>
      </c>
      <c r="AS26" s="4">
        <f t="shared" si="17"/>
        <v>0</v>
      </c>
      <c r="AT26" s="4">
        <f t="shared" si="18"/>
        <v>0</v>
      </c>
      <c r="AU26" s="313">
        <f>IF(Data!$H$8="x",AV26,AW26)</f>
        <v>4.4333333333333318</v>
      </c>
      <c r="AV26" s="313">
        <f t="shared" si="19"/>
        <v>2.2166666666666659</v>
      </c>
      <c r="AW26" s="313">
        <f>IF(D26="V",AW25,(AW25+"07:36"))</f>
        <v>4.4333333333333318</v>
      </c>
      <c r="AX26" s="6" t="str">
        <f t="shared" si="20"/>
        <v>Ma</v>
      </c>
      <c r="AY26" s="4">
        <f>IF((R40="M7")*AND(R41&lt;&gt;""),VLOOKUP(R41,Barema!$BV$5:$BW$31,2),)</f>
        <v>0</v>
      </c>
      <c r="AZ26" s="4" t="s">
        <v>19</v>
      </c>
      <c r="BA26" s="102"/>
    </row>
    <row r="27" spans="1:53" s="407" customFormat="1" x14ac:dyDescent="0.2">
      <c r="A27" s="406"/>
      <c r="B27" s="385" t="s">
        <v>177</v>
      </c>
      <c r="C27" s="386" t="s">
        <v>433</v>
      </c>
      <c r="D27" s="387" t="s">
        <v>79</v>
      </c>
      <c r="E27" s="387"/>
      <c r="F27" s="388"/>
      <c r="G27" s="388"/>
      <c r="H27" s="388"/>
      <c r="I27" s="388"/>
      <c r="J27" s="400"/>
      <c r="K27" s="400"/>
      <c r="L27" s="389">
        <f>(G27-F27)+(I27-H27)+(K27-J27)+AI27+AN27</f>
        <v>0.31666666666666665</v>
      </c>
      <c r="M27" s="389">
        <f t="shared" si="25"/>
        <v>0.31666666666666665</v>
      </c>
      <c r="N27" s="390">
        <f>IF(Jun!$H$47="x",AU27+Jun!$N$36,AU27)</f>
        <v>4.7499999999999982</v>
      </c>
      <c r="O27" s="391" t="str">
        <f t="shared" si="21"/>
        <v>-</v>
      </c>
      <c r="P27" s="401">
        <f t="shared" si="22"/>
        <v>4.4333333333333318</v>
      </c>
      <c r="Q27" s="387">
        <f t="shared" si="0"/>
        <v>0</v>
      </c>
      <c r="R27" s="387">
        <f t="shared" si="1"/>
        <v>0</v>
      </c>
      <c r="S27" s="387">
        <f t="shared" si="2"/>
        <v>0</v>
      </c>
      <c r="T27" s="387">
        <f t="shared" si="3"/>
        <v>0</v>
      </c>
      <c r="U27" s="389">
        <f>IF(D27="F",L27,0)</f>
        <v>0</v>
      </c>
      <c r="V27" s="389">
        <f t="shared" si="23"/>
        <v>0</v>
      </c>
      <c r="W27" s="389">
        <f t="shared" si="24"/>
        <v>0</v>
      </c>
      <c r="X27" s="387"/>
      <c r="Y27" s="388"/>
      <c r="Z27" s="388"/>
      <c r="AA27" s="393">
        <f t="shared" si="4"/>
        <v>0</v>
      </c>
      <c r="AB27" s="393">
        <f t="shared" si="5"/>
        <v>0</v>
      </c>
      <c r="AC27" s="393">
        <f t="shared" si="26"/>
        <v>0</v>
      </c>
      <c r="AD27" s="393">
        <f t="shared" si="6"/>
        <v>0</v>
      </c>
      <c r="AE27" s="394">
        <f t="shared" si="27"/>
        <v>0</v>
      </c>
      <c r="AF27" s="393">
        <f t="shared" si="28"/>
        <v>0</v>
      </c>
      <c r="AG27" s="394">
        <f t="shared" si="29"/>
        <v>0</v>
      </c>
      <c r="AH27" s="393">
        <f t="shared" si="7"/>
        <v>0</v>
      </c>
      <c r="AI27" s="395">
        <f>IF((D27&lt;&gt;""),VLOOKUP(D27,Data!$E$36:$H$53,4),)</f>
        <v>0.31666666666666665</v>
      </c>
      <c r="AJ27" s="395">
        <f t="shared" si="8"/>
        <v>0</v>
      </c>
      <c r="AK27" s="396" t="str">
        <f t="shared" si="9"/>
        <v>FV</v>
      </c>
      <c r="AL27" s="396">
        <f t="shared" si="10"/>
        <v>0</v>
      </c>
      <c r="AM27" s="397">
        <f t="shared" si="11"/>
        <v>0</v>
      </c>
      <c r="AN27" s="395">
        <f t="shared" si="12"/>
        <v>0</v>
      </c>
      <c r="AO27" s="398">
        <f t="shared" si="13"/>
        <v>0</v>
      </c>
      <c r="AP27" s="398">
        <f t="shared" si="14"/>
        <v>0</v>
      </c>
      <c r="AQ27" s="398">
        <f t="shared" si="15"/>
        <v>0</v>
      </c>
      <c r="AR27" s="398">
        <f t="shared" si="16"/>
        <v>0</v>
      </c>
      <c r="AS27" s="396">
        <f t="shared" si="17"/>
        <v>0</v>
      </c>
      <c r="AT27" s="396">
        <f t="shared" si="18"/>
        <v>0</v>
      </c>
      <c r="AU27" s="389">
        <f>IF(Data!$H$8="x",AV27,AW27)</f>
        <v>4.7499999999999982</v>
      </c>
      <c r="AV27" s="389">
        <f t="shared" si="19"/>
        <v>2.3749999999999991</v>
      </c>
      <c r="AW27" s="389">
        <f>IF(D27="V",AW26,(AW26+"07:36"))</f>
        <v>4.7499999999999982</v>
      </c>
      <c r="AX27" s="385" t="str">
        <f t="shared" si="20"/>
        <v>Di</v>
      </c>
      <c r="AY27" s="396">
        <f>IF((R40="M7bis")*AND(R41&lt;&gt;""),VLOOKUP(R41,Barema!$BY$5:$BZ$31,2),)</f>
        <v>0</v>
      </c>
      <c r="AZ27" s="396" t="s">
        <v>20</v>
      </c>
      <c r="BA27" s="102"/>
    </row>
    <row r="28" spans="1:53" s="378" customFormat="1" x14ac:dyDescent="0.2">
      <c r="A28" s="309"/>
      <c r="B28" s="6" t="s">
        <v>179</v>
      </c>
      <c r="C28" s="311" t="s">
        <v>434</v>
      </c>
      <c r="D28" s="312"/>
      <c r="E28" s="312"/>
      <c r="F28" s="274"/>
      <c r="G28" s="274"/>
      <c r="H28" s="310"/>
      <c r="I28" s="310"/>
      <c r="J28" s="417"/>
      <c r="K28" s="417"/>
      <c r="L28" s="313">
        <f>(G28-F28)+(I28-H28)+(K28-J28)+AI28+AN28</f>
        <v>0</v>
      </c>
      <c r="M28" s="313">
        <f>M27+L28</f>
        <v>0.31666666666666665</v>
      </c>
      <c r="N28" s="338">
        <f>IF(Jun!$H$47="x",AU28+Jun!$N$36,AU28)</f>
        <v>5.0666666666666647</v>
      </c>
      <c r="O28" s="337" t="str">
        <f t="shared" si="21"/>
        <v>-</v>
      </c>
      <c r="P28" s="314">
        <f t="shared" si="22"/>
        <v>4.7499999999999982</v>
      </c>
      <c r="Q28" s="312">
        <f t="shared" si="0"/>
        <v>0</v>
      </c>
      <c r="R28" s="312">
        <f t="shared" si="1"/>
        <v>0</v>
      </c>
      <c r="S28" s="312">
        <f t="shared" si="2"/>
        <v>0</v>
      </c>
      <c r="T28" s="312">
        <f t="shared" si="3"/>
        <v>0</v>
      </c>
      <c r="U28" s="313">
        <f>IF(D28="F",L28,0)</f>
        <v>0</v>
      </c>
      <c r="V28" s="313">
        <f t="shared" si="23"/>
        <v>0</v>
      </c>
      <c r="W28" s="313">
        <f t="shared" si="24"/>
        <v>0</v>
      </c>
      <c r="X28" s="312"/>
      <c r="Y28" s="310"/>
      <c r="Z28" s="310"/>
      <c r="AA28" s="315">
        <f t="shared" si="4"/>
        <v>0</v>
      </c>
      <c r="AB28" s="315">
        <f t="shared" si="5"/>
        <v>0</v>
      </c>
      <c r="AC28" s="315">
        <f t="shared" si="26"/>
        <v>0</v>
      </c>
      <c r="AD28" s="315">
        <f t="shared" si="6"/>
        <v>0</v>
      </c>
      <c r="AE28" s="316">
        <f t="shared" si="27"/>
        <v>0</v>
      </c>
      <c r="AF28" s="315">
        <f t="shared" si="28"/>
        <v>0</v>
      </c>
      <c r="AG28" s="316">
        <f t="shared" si="29"/>
        <v>0</v>
      </c>
      <c r="AH28" s="315">
        <f t="shared" si="7"/>
        <v>0</v>
      </c>
      <c r="AI28" s="123">
        <f>IF((D28&lt;&gt;""),VLOOKUP(D28,Data!$E$36:$H$53,4),)</f>
        <v>0</v>
      </c>
      <c r="AJ28" s="123">
        <f t="shared" si="8"/>
        <v>0</v>
      </c>
      <c r="AK28" s="4">
        <f t="shared" si="9"/>
        <v>0</v>
      </c>
      <c r="AL28" s="4">
        <f t="shared" si="10"/>
        <v>0</v>
      </c>
      <c r="AM28" s="1">
        <f t="shared" si="11"/>
        <v>0</v>
      </c>
      <c r="AN28" s="123">
        <f t="shared" si="12"/>
        <v>0</v>
      </c>
      <c r="AO28" s="317">
        <f t="shared" si="13"/>
        <v>0</v>
      </c>
      <c r="AP28" s="317">
        <f t="shared" si="14"/>
        <v>0</v>
      </c>
      <c r="AQ28" s="317">
        <f t="shared" si="15"/>
        <v>0</v>
      </c>
      <c r="AR28" s="317">
        <f t="shared" si="16"/>
        <v>0</v>
      </c>
      <c r="AS28" s="4">
        <f t="shared" si="17"/>
        <v>0</v>
      </c>
      <c r="AT28" s="4">
        <f t="shared" si="18"/>
        <v>0</v>
      </c>
      <c r="AU28" s="313">
        <f>IF(Data!$H$8="x",AV28,AW28)</f>
        <v>5.0666666666666647</v>
      </c>
      <c r="AV28" s="313">
        <f t="shared" si="19"/>
        <v>2.5333333333333323</v>
      </c>
      <c r="AW28" s="313">
        <f>IF(D28="V",AW27,(AW27+"07:36"))</f>
        <v>5.0666666666666647</v>
      </c>
      <c r="AX28" s="6" t="str">
        <f t="shared" si="20"/>
        <v>Wo</v>
      </c>
      <c r="AY28" s="4">
        <f>IF((R40="O1")*AND(R41&lt;&gt;""),VLOOKUP(R41,Barema!$Q$39:$R$65,2),)</f>
        <v>0</v>
      </c>
      <c r="AZ28" s="4" t="s">
        <v>21</v>
      </c>
      <c r="BA28" s="102"/>
    </row>
    <row r="29" spans="1:53" s="378" customFormat="1" x14ac:dyDescent="0.2">
      <c r="A29" s="309"/>
      <c r="B29" s="6" t="s">
        <v>167</v>
      </c>
      <c r="C29" s="311" t="s">
        <v>435</v>
      </c>
      <c r="D29" s="312"/>
      <c r="E29" s="312"/>
      <c r="F29" s="274"/>
      <c r="G29" s="274"/>
      <c r="H29" s="310"/>
      <c r="I29" s="310"/>
      <c r="J29" s="417"/>
      <c r="K29" s="417"/>
      <c r="L29" s="313">
        <f>(G29-F29)+(I29-H29)+(K29-J29)+AI29+AN29</f>
        <v>0</v>
      </c>
      <c r="M29" s="313">
        <f>M28+L29</f>
        <v>0.31666666666666665</v>
      </c>
      <c r="N29" s="338">
        <f>IF(Jun!$H$47="x",AU29+Jun!$N$36,AU29)</f>
        <v>5.3833333333333311</v>
      </c>
      <c r="O29" s="337" t="str">
        <f t="shared" si="21"/>
        <v>-</v>
      </c>
      <c r="P29" s="314">
        <f t="shared" si="22"/>
        <v>5.0666666666666647</v>
      </c>
      <c r="Q29" s="312">
        <f t="shared" si="0"/>
        <v>0</v>
      </c>
      <c r="R29" s="312">
        <f t="shared" si="1"/>
        <v>0</v>
      </c>
      <c r="S29" s="312">
        <f t="shared" si="2"/>
        <v>0</v>
      </c>
      <c r="T29" s="312">
        <f t="shared" si="3"/>
        <v>0</v>
      </c>
      <c r="U29" s="313">
        <f>IF(D29="F",L29,0)</f>
        <v>0</v>
      </c>
      <c r="V29" s="313">
        <f t="shared" si="23"/>
        <v>0</v>
      </c>
      <c r="W29" s="313">
        <f t="shared" si="24"/>
        <v>0</v>
      </c>
      <c r="X29" s="312"/>
      <c r="Y29" s="310"/>
      <c r="Z29" s="310"/>
      <c r="AA29" s="315">
        <f t="shared" si="4"/>
        <v>0</v>
      </c>
      <c r="AB29" s="315">
        <f t="shared" si="5"/>
        <v>0</v>
      </c>
      <c r="AC29" s="315">
        <f t="shared" si="26"/>
        <v>0</v>
      </c>
      <c r="AD29" s="315">
        <f t="shared" si="6"/>
        <v>0</v>
      </c>
      <c r="AE29" s="316">
        <f t="shared" si="27"/>
        <v>0</v>
      </c>
      <c r="AF29" s="315">
        <f t="shared" si="28"/>
        <v>0</v>
      </c>
      <c r="AG29" s="316">
        <f t="shared" si="29"/>
        <v>0</v>
      </c>
      <c r="AH29" s="315">
        <f t="shared" si="7"/>
        <v>0</v>
      </c>
      <c r="AI29" s="123">
        <f>IF((D29&lt;&gt;""),VLOOKUP(D29,Data!$E$36:$H$53,4),)</f>
        <v>0</v>
      </c>
      <c r="AJ29" s="123">
        <f t="shared" si="8"/>
        <v>0</v>
      </c>
      <c r="AK29" s="4">
        <f t="shared" si="9"/>
        <v>0</v>
      </c>
      <c r="AL29" s="4">
        <f t="shared" si="10"/>
        <v>0</v>
      </c>
      <c r="AM29" s="1">
        <f t="shared" si="11"/>
        <v>0</v>
      </c>
      <c r="AN29" s="123">
        <f t="shared" si="12"/>
        <v>0</v>
      </c>
      <c r="AO29" s="317">
        <f t="shared" si="13"/>
        <v>0</v>
      </c>
      <c r="AP29" s="317">
        <f t="shared" si="14"/>
        <v>0</v>
      </c>
      <c r="AQ29" s="317">
        <f t="shared" si="15"/>
        <v>0</v>
      </c>
      <c r="AR29" s="317">
        <f t="shared" si="16"/>
        <v>0</v>
      </c>
      <c r="AS29" s="4">
        <f t="shared" si="17"/>
        <v>0</v>
      </c>
      <c r="AT29" s="4">
        <f t="shared" si="18"/>
        <v>0</v>
      </c>
      <c r="AU29" s="313">
        <f>IF(Data!$H$8="x",AV29,AW29)</f>
        <v>5.3833333333333311</v>
      </c>
      <c r="AV29" s="313">
        <f t="shared" si="19"/>
        <v>2.6916666666666655</v>
      </c>
      <c r="AW29" s="313">
        <f>IF(D29="V",AW28,(AW28+"07:36"))</f>
        <v>5.3833333333333311</v>
      </c>
      <c r="AX29" s="6" t="str">
        <f t="shared" si="20"/>
        <v>Do</v>
      </c>
      <c r="AY29" s="4">
        <f>IF((R40="O2")*AND(R41&lt;&gt;""),VLOOKUP(R41,Barema!$T$39:$U$65,2),)</f>
        <v>0</v>
      </c>
      <c r="AZ29" s="4" t="s">
        <v>22</v>
      </c>
      <c r="BA29" s="102"/>
    </row>
    <row r="30" spans="1:53" s="378" customFormat="1" x14ac:dyDescent="0.2">
      <c r="A30" s="309"/>
      <c r="B30" s="6" t="s">
        <v>169</v>
      </c>
      <c r="C30" s="311" t="s">
        <v>436</v>
      </c>
      <c r="D30" s="312"/>
      <c r="E30" s="312"/>
      <c r="F30" s="274"/>
      <c r="G30" s="274"/>
      <c r="H30" s="310"/>
      <c r="I30" s="310"/>
      <c r="J30" s="310"/>
      <c r="K30" s="310"/>
      <c r="L30" s="313">
        <f>(G30-F30)+(I30-H30)+(K30-J30)+AI30+AN30</f>
        <v>0</v>
      </c>
      <c r="M30" s="313">
        <f t="shared" si="25"/>
        <v>0.31666666666666665</v>
      </c>
      <c r="N30" s="338">
        <f>IF(Jun!$H$47="x",AU30+Jun!$N$36,AU30)</f>
        <v>5.6999999999999975</v>
      </c>
      <c r="O30" s="337" t="str">
        <f t="shared" si="21"/>
        <v>-</v>
      </c>
      <c r="P30" s="314">
        <f t="shared" si="22"/>
        <v>5.3833333333333311</v>
      </c>
      <c r="Q30" s="312">
        <f t="shared" si="0"/>
        <v>0</v>
      </c>
      <c r="R30" s="312">
        <f t="shared" si="1"/>
        <v>0</v>
      </c>
      <c r="S30" s="312">
        <f t="shared" si="2"/>
        <v>0</v>
      </c>
      <c r="T30" s="312">
        <f t="shared" si="3"/>
        <v>0</v>
      </c>
      <c r="U30" s="313">
        <f>IF(D30="F",L30,0)</f>
        <v>0</v>
      </c>
      <c r="V30" s="313">
        <f t="shared" si="23"/>
        <v>0</v>
      </c>
      <c r="W30" s="313">
        <f t="shared" si="24"/>
        <v>0</v>
      </c>
      <c r="X30" s="312"/>
      <c r="Y30" s="310"/>
      <c r="Z30" s="310"/>
      <c r="AA30" s="315">
        <f t="shared" si="4"/>
        <v>0</v>
      </c>
      <c r="AB30" s="315">
        <f t="shared" si="5"/>
        <v>0</v>
      </c>
      <c r="AC30" s="315">
        <f t="shared" si="26"/>
        <v>0</v>
      </c>
      <c r="AD30" s="315">
        <f t="shared" si="6"/>
        <v>0</v>
      </c>
      <c r="AE30" s="316">
        <f t="shared" si="27"/>
        <v>0</v>
      </c>
      <c r="AF30" s="315">
        <f t="shared" si="28"/>
        <v>0</v>
      </c>
      <c r="AG30" s="316">
        <f t="shared" si="29"/>
        <v>0</v>
      </c>
      <c r="AH30" s="315">
        <f t="shared" si="7"/>
        <v>0</v>
      </c>
      <c r="AI30" s="123">
        <f>IF((D30&lt;&gt;""),VLOOKUP(D30,Data!$E$36:$H$53,4),)</f>
        <v>0</v>
      </c>
      <c r="AJ30" s="123">
        <f t="shared" si="8"/>
        <v>0</v>
      </c>
      <c r="AK30" s="4">
        <f t="shared" si="9"/>
        <v>0</v>
      </c>
      <c r="AL30" s="4">
        <f t="shared" si="10"/>
        <v>0</v>
      </c>
      <c r="AM30" s="1">
        <f t="shared" si="11"/>
        <v>0</v>
      </c>
      <c r="AN30" s="123">
        <f t="shared" si="12"/>
        <v>0</v>
      </c>
      <c r="AO30" s="317">
        <f t="shared" si="13"/>
        <v>0</v>
      </c>
      <c r="AP30" s="317">
        <f t="shared" si="14"/>
        <v>0</v>
      </c>
      <c r="AQ30" s="317">
        <f t="shared" si="15"/>
        <v>0</v>
      </c>
      <c r="AR30" s="317">
        <f t="shared" si="16"/>
        <v>0</v>
      </c>
      <c r="AS30" s="4">
        <f t="shared" si="17"/>
        <v>0</v>
      </c>
      <c r="AT30" s="4">
        <f t="shared" si="18"/>
        <v>0</v>
      </c>
      <c r="AU30" s="313">
        <f>IF(Data!$H$8="x",AV30,AW30)</f>
        <v>5.6999999999999975</v>
      </c>
      <c r="AV30" s="313">
        <f t="shared" si="19"/>
        <v>2.8499999999999988</v>
      </c>
      <c r="AW30" s="313">
        <f>IF(D30="V",AW29,(AW29+"07:36"))</f>
        <v>5.6999999999999975</v>
      </c>
      <c r="AX30" s="6" t="str">
        <f t="shared" si="20"/>
        <v>Vr</v>
      </c>
      <c r="AY30" s="4">
        <f>IF((R40="O2ir")*AND(R41&lt;&gt;""),VLOOKUP(R41,Barema!$AR$39:$AS$65,2),)</f>
        <v>0</v>
      </c>
      <c r="AZ30" s="4" t="s">
        <v>30</v>
      </c>
      <c r="BA30" s="102"/>
    </row>
    <row r="31" spans="1:53" s="376" customFormat="1" x14ac:dyDescent="0.2">
      <c r="A31" s="374"/>
      <c r="B31" s="362" t="s">
        <v>171</v>
      </c>
      <c r="C31" s="363" t="s">
        <v>437</v>
      </c>
      <c r="D31" s="364"/>
      <c r="E31" s="364"/>
      <c r="F31" s="365"/>
      <c r="G31" s="365"/>
      <c r="H31" s="365"/>
      <c r="I31" s="365"/>
      <c r="J31" s="365"/>
      <c r="K31" s="365"/>
      <c r="L31" s="366">
        <f>(G31-F31)+(I31-H31)+(K31-J31)</f>
        <v>0</v>
      </c>
      <c r="M31" s="366">
        <f t="shared" si="25"/>
        <v>0.31666666666666665</v>
      </c>
      <c r="N31" s="382">
        <f>IF(Jun!$H$47="x",AU31+Jun!$N$36,AU31)</f>
        <v>5.6999999999999975</v>
      </c>
      <c r="O31" s="377" t="str">
        <f t="shared" si="21"/>
        <v>-</v>
      </c>
      <c r="P31" s="367">
        <f t="shared" si="22"/>
        <v>5.3833333333333311</v>
      </c>
      <c r="Q31" s="364">
        <f t="shared" si="0"/>
        <v>0</v>
      </c>
      <c r="R31" s="364">
        <f t="shared" si="1"/>
        <v>0</v>
      </c>
      <c r="S31" s="364">
        <f t="shared" si="2"/>
        <v>0</v>
      </c>
      <c r="T31" s="364">
        <f t="shared" si="3"/>
        <v>0</v>
      </c>
      <c r="U31" s="366">
        <f>L31</f>
        <v>0</v>
      </c>
      <c r="V31" s="366">
        <f t="shared" si="23"/>
        <v>0</v>
      </c>
      <c r="W31" s="366">
        <f t="shared" si="24"/>
        <v>0</v>
      </c>
      <c r="X31" s="364"/>
      <c r="Y31" s="365"/>
      <c r="Z31" s="365"/>
      <c r="AA31" s="368">
        <f t="shared" si="4"/>
        <v>0</v>
      </c>
      <c r="AB31" s="368">
        <f t="shared" si="5"/>
        <v>0</v>
      </c>
      <c r="AC31" s="368">
        <f t="shared" si="26"/>
        <v>0</v>
      </c>
      <c r="AD31" s="368">
        <f t="shared" si="6"/>
        <v>0</v>
      </c>
      <c r="AE31" s="369">
        <f t="shared" si="27"/>
        <v>0</v>
      </c>
      <c r="AF31" s="368">
        <f t="shared" si="28"/>
        <v>0</v>
      </c>
      <c r="AG31" s="369">
        <f t="shared" si="29"/>
        <v>0</v>
      </c>
      <c r="AH31" s="368">
        <f t="shared" si="7"/>
        <v>0</v>
      </c>
      <c r="AI31" s="370">
        <f>IF((D31&lt;&gt;""),VLOOKUP(D31,Data!$E$36:$H$53,4),)</f>
        <v>0</v>
      </c>
      <c r="AJ31" s="370">
        <f t="shared" si="8"/>
        <v>0</v>
      </c>
      <c r="AK31" s="371">
        <f t="shared" si="9"/>
        <v>0</v>
      </c>
      <c r="AL31" s="371">
        <f t="shared" si="10"/>
        <v>0</v>
      </c>
      <c r="AM31" s="372">
        <f t="shared" si="11"/>
        <v>0</v>
      </c>
      <c r="AN31" s="370">
        <f t="shared" si="12"/>
        <v>0</v>
      </c>
      <c r="AO31" s="373">
        <f t="shared" si="13"/>
        <v>0</v>
      </c>
      <c r="AP31" s="373">
        <f t="shared" si="14"/>
        <v>0</v>
      </c>
      <c r="AQ31" s="373">
        <f t="shared" si="15"/>
        <v>0</v>
      </c>
      <c r="AR31" s="373">
        <f t="shared" si="16"/>
        <v>0</v>
      </c>
      <c r="AS31" s="371">
        <f t="shared" si="17"/>
        <v>0</v>
      </c>
      <c r="AT31" s="371">
        <f t="shared" si="18"/>
        <v>0</v>
      </c>
      <c r="AU31" s="366">
        <f>IF(Data!$H$8="x",AV31,AW31)</f>
        <v>5.6999999999999975</v>
      </c>
      <c r="AV31" s="366">
        <f t="shared" si="19"/>
        <v>2.8499999999999988</v>
      </c>
      <c r="AW31" s="366">
        <f>AW30</f>
        <v>5.6999999999999975</v>
      </c>
      <c r="AX31" s="362" t="str">
        <f t="shared" si="20"/>
        <v>Za</v>
      </c>
      <c r="AY31" s="371">
        <f>IF((R40="O3")*AND(R41&lt;&gt;""),VLOOKUP(R41,Barema!$W$39:$X$65,2),)</f>
        <v>0</v>
      </c>
      <c r="AZ31" s="371" t="s">
        <v>23</v>
      </c>
      <c r="BA31" s="439"/>
    </row>
    <row r="32" spans="1:53" s="376" customFormat="1" x14ac:dyDescent="0.2">
      <c r="A32" s="374"/>
      <c r="B32" s="362" t="s">
        <v>173</v>
      </c>
      <c r="C32" s="363" t="s">
        <v>438</v>
      </c>
      <c r="D32" s="364"/>
      <c r="E32" s="364"/>
      <c r="F32" s="365"/>
      <c r="G32" s="365"/>
      <c r="H32" s="365"/>
      <c r="I32" s="365"/>
      <c r="J32" s="365"/>
      <c r="K32" s="365"/>
      <c r="L32" s="366">
        <f>(G32-F32)+(I32-H32)+(K32-J32)</f>
        <v>0</v>
      </c>
      <c r="M32" s="366">
        <f t="shared" si="25"/>
        <v>0.31666666666666665</v>
      </c>
      <c r="N32" s="382">
        <f>IF(Jun!$H$47="x",AU32+Jun!$N$36,AU32)</f>
        <v>5.6999999999999975</v>
      </c>
      <c r="O32" s="377" t="str">
        <f t="shared" si="21"/>
        <v>-</v>
      </c>
      <c r="P32" s="367">
        <f t="shared" si="22"/>
        <v>5.3833333333333311</v>
      </c>
      <c r="Q32" s="364">
        <f t="shared" si="0"/>
        <v>0</v>
      </c>
      <c r="R32" s="364">
        <f t="shared" si="1"/>
        <v>0</v>
      </c>
      <c r="S32" s="364">
        <f t="shared" si="2"/>
        <v>0</v>
      </c>
      <c r="T32" s="364">
        <f t="shared" si="3"/>
        <v>0</v>
      </c>
      <c r="U32" s="366">
        <f>L32</f>
        <v>0</v>
      </c>
      <c r="V32" s="366">
        <f t="shared" si="23"/>
        <v>0</v>
      </c>
      <c r="W32" s="366">
        <f t="shared" si="24"/>
        <v>0</v>
      </c>
      <c r="X32" s="364"/>
      <c r="Y32" s="365"/>
      <c r="Z32" s="365"/>
      <c r="AA32" s="368">
        <f t="shared" si="4"/>
        <v>0</v>
      </c>
      <c r="AB32" s="368">
        <f t="shared" si="5"/>
        <v>0</v>
      </c>
      <c r="AC32" s="368">
        <f t="shared" si="26"/>
        <v>0</v>
      </c>
      <c r="AD32" s="368">
        <f t="shared" si="6"/>
        <v>0</v>
      </c>
      <c r="AE32" s="369">
        <f t="shared" si="27"/>
        <v>0</v>
      </c>
      <c r="AF32" s="368">
        <f t="shared" si="28"/>
        <v>0</v>
      </c>
      <c r="AG32" s="369">
        <f t="shared" si="29"/>
        <v>0</v>
      </c>
      <c r="AH32" s="368">
        <f t="shared" si="7"/>
        <v>0</v>
      </c>
      <c r="AI32" s="370">
        <f>IF((D32&lt;&gt;""),VLOOKUP(D32,Data!$E$36:$H$53,4),)</f>
        <v>0</v>
      </c>
      <c r="AJ32" s="370">
        <f t="shared" si="8"/>
        <v>0</v>
      </c>
      <c r="AK32" s="371">
        <f t="shared" si="9"/>
        <v>0</v>
      </c>
      <c r="AL32" s="371">
        <f t="shared" si="10"/>
        <v>0</v>
      </c>
      <c r="AM32" s="372">
        <f t="shared" si="11"/>
        <v>0</v>
      </c>
      <c r="AN32" s="370">
        <f t="shared" si="12"/>
        <v>0</v>
      </c>
      <c r="AO32" s="373">
        <f t="shared" si="13"/>
        <v>0</v>
      </c>
      <c r="AP32" s="373">
        <f t="shared" si="14"/>
        <v>0</v>
      </c>
      <c r="AQ32" s="373">
        <f t="shared" si="15"/>
        <v>0</v>
      </c>
      <c r="AR32" s="373">
        <f t="shared" si="16"/>
        <v>0</v>
      </c>
      <c r="AS32" s="371">
        <f t="shared" si="17"/>
        <v>0</v>
      </c>
      <c r="AT32" s="371">
        <f t="shared" si="18"/>
        <v>0</v>
      </c>
      <c r="AU32" s="366">
        <f>IF(Data!$H$8="x",AV32,AW32)</f>
        <v>5.6999999999999975</v>
      </c>
      <c r="AV32" s="366">
        <f t="shared" si="19"/>
        <v>2.8499999999999988</v>
      </c>
      <c r="AW32" s="366">
        <f>AW31</f>
        <v>5.6999999999999975</v>
      </c>
      <c r="AX32" s="362" t="str">
        <f t="shared" si="20"/>
        <v>Zo</v>
      </c>
      <c r="AY32" s="371">
        <f>IF((R40="O3ir")*AND(R41&lt;&gt;""),VLOOKUP(R41,Barema!$AU$39:$AV$65,2),)</f>
        <v>0</v>
      </c>
      <c r="AZ32" s="371" t="s">
        <v>31</v>
      </c>
      <c r="BA32" s="439"/>
    </row>
    <row r="33" spans="1:54" s="378" customFormat="1" x14ac:dyDescent="0.2">
      <c r="A33" s="309"/>
      <c r="B33" s="6" t="s">
        <v>175</v>
      </c>
      <c r="C33" s="311" t="s">
        <v>439</v>
      </c>
      <c r="D33" s="312"/>
      <c r="E33" s="312"/>
      <c r="F33" s="274"/>
      <c r="G33" s="274"/>
      <c r="H33" s="310"/>
      <c r="I33" s="310"/>
      <c r="J33" s="310"/>
      <c r="K33" s="310"/>
      <c r="L33" s="313">
        <f>(G33-F33)+(I33-H33)+(K33-J33)+AI33+AN33</f>
        <v>0</v>
      </c>
      <c r="M33" s="313">
        <f t="shared" si="25"/>
        <v>0.31666666666666665</v>
      </c>
      <c r="N33" s="338">
        <f>IF(Jun!$H$47="x",AU33+Jun!$N$36,AU33)</f>
        <v>6.0166666666666639</v>
      </c>
      <c r="O33" s="337" t="str">
        <f t="shared" si="21"/>
        <v>-</v>
      </c>
      <c r="P33" s="314">
        <f t="shared" si="22"/>
        <v>5.6999999999999975</v>
      </c>
      <c r="Q33" s="312">
        <f t="shared" si="0"/>
        <v>0</v>
      </c>
      <c r="R33" s="312">
        <f t="shared" si="1"/>
        <v>0</v>
      </c>
      <c r="S33" s="312">
        <f t="shared" si="2"/>
        <v>0</v>
      </c>
      <c r="T33" s="312">
        <f t="shared" si="3"/>
        <v>0</v>
      </c>
      <c r="U33" s="338">
        <f>IF(D33="F",L33,0)</f>
        <v>0</v>
      </c>
      <c r="V33" s="313">
        <f t="shared" si="23"/>
        <v>0</v>
      </c>
      <c r="W33" s="313">
        <f t="shared" si="24"/>
        <v>0</v>
      </c>
      <c r="X33" s="312"/>
      <c r="Y33" s="310"/>
      <c r="Z33" s="310"/>
      <c r="AA33" s="315">
        <f t="shared" si="4"/>
        <v>0</v>
      </c>
      <c r="AB33" s="315">
        <f t="shared" si="5"/>
        <v>0</v>
      </c>
      <c r="AC33" s="315">
        <f t="shared" si="26"/>
        <v>0</v>
      </c>
      <c r="AD33" s="315">
        <f t="shared" si="6"/>
        <v>0</v>
      </c>
      <c r="AE33" s="316">
        <f t="shared" si="27"/>
        <v>0</v>
      </c>
      <c r="AF33" s="315">
        <f t="shared" si="28"/>
        <v>0</v>
      </c>
      <c r="AG33" s="316">
        <f t="shared" si="29"/>
        <v>0</v>
      </c>
      <c r="AH33" s="315">
        <f t="shared" si="7"/>
        <v>0</v>
      </c>
      <c r="AI33" s="123">
        <f>IF((D33&lt;&gt;""),VLOOKUP(D33,Data!$E$36:$H$53,4),)</f>
        <v>0</v>
      </c>
      <c r="AJ33" s="123">
        <f t="shared" si="8"/>
        <v>0</v>
      </c>
      <c r="AK33" s="4">
        <f t="shared" si="9"/>
        <v>0</v>
      </c>
      <c r="AL33" s="4">
        <f t="shared" si="10"/>
        <v>0</v>
      </c>
      <c r="AM33" s="1">
        <f t="shared" si="11"/>
        <v>0</v>
      </c>
      <c r="AN33" s="123">
        <f t="shared" si="12"/>
        <v>0</v>
      </c>
      <c r="AO33" s="317">
        <f t="shared" si="13"/>
        <v>0</v>
      </c>
      <c r="AP33" s="317">
        <f t="shared" si="14"/>
        <v>0</v>
      </c>
      <c r="AQ33" s="317">
        <f t="shared" si="15"/>
        <v>0</v>
      </c>
      <c r="AR33" s="317">
        <f t="shared" si="16"/>
        <v>0</v>
      </c>
      <c r="AS33" s="4">
        <f t="shared" si="17"/>
        <v>0</v>
      </c>
      <c r="AT33" s="4">
        <f t="shared" si="18"/>
        <v>0</v>
      </c>
      <c r="AU33" s="313">
        <f>IF(Data!$H$8="x",AV33,AW33)</f>
        <v>6.0166666666666639</v>
      </c>
      <c r="AV33" s="313">
        <f t="shared" si="19"/>
        <v>3.008333333333332</v>
      </c>
      <c r="AW33" s="313">
        <f>IF(D33="V",AW32,(AW32+"07:36"))</f>
        <v>6.0166666666666639</v>
      </c>
      <c r="AX33" s="6" t="str">
        <f t="shared" si="20"/>
        <v>Ma</v>
      </c>
      <c r="AY33" s="4">
        <f>IF((R40="O4")*AND(R41&lt;&gt;""),VLOOKUP(R41,Barema!$Z$39:$AA$65,2),)</f>
        <v>0</v>
      </c>
      <c r="AZ33" s="4" t="s">
        <v>24</v>
      </c>
      <c r="BA33" s="102"/>
    </row>
    <row r="34" spans="1:54" s="378" customFormat="1" x14ac:dyDescent="0.2">
      <c r="A34" s="309"/>
      <c r="B34" s="6" t="s">
        <v>177</v>
      </c>
      <c r="C34" s="311" t="s">
        <v>440</v>
      </c>
      <c r="D34" s="312"/>
      <c r="E34" s="312"/>
      <c r="F34" s="274"/>
      <c r="G34" s="274"/>
      <c r="H34" s="310"/>
      <c r="I34" s="310"/>
      <c r="J34" s="310"/>
      <c r="K34" s="310"/>
      <c r="L34" s="313">
        <f>(G34-F34)+(I34-H34)+(K34-J34)+AI34+AN34</f>
        <v>0</v>
      </c>
      <c r="M34" s="313">
        <f t="shared" si="25"/>
        <v>0.31666666666666665</v>
      </c>
      <c r="N34" s="338">
        <f>IF(Jun!$H$47="x",AU34+Jun!$N$36,AU34)</f>
        <v>6.3333333333333304</v>
      </c>
      <c r="O34" s="337" t="str">
        <f t="shared" si="21"/>
        <v>-</v>
      </c>
      <c r="P34" s="314">
        <f t="shared" si="22"/>
        <v>6.0166666666666639</v>
      </c>
      <c r="Q34" s="312">
        <f t="shared" si="0"/>
        <v>0</v>
      </c>
      <c r="R34" s="312">
        <f t="shared" si="1"/>
        <v>0</v>
      </c>
      <c r="S34" s="312">
        <f t="shared" si="2"/>
        <v>0</v>
      </c>
      <c r="T34" s="312">
        <f t="shared" si="3"/>
        <v>0</v>
      </c>
      <c r="U34" s="338">
        <f>IF(D34="F",L34,0)</f>
        <v>0</v>
      </c>
      <c r="V34" s="313">
        <f t="shared" si="23"/>
        <v>0</v>
      </c>
      <c r="W34" s="313">
        <f t="shared" si="24"/>
        <v>0</v>
      </c>
      <c r="X34" s="312"/>
      <c r="Y34" s="310"/>
      <c r="Z34" s="310"/>
      <c r="AA34" s="315">
        <f t="shared" si="4"/>
        <v>0</v>
      </c>
      <c r="AB34" s="315">
        <f t="shared" si="5"/>
        <v>0</v>
      </c>
      <c r="AC34" s="315">
        <f t="shared" si="26"/>
        <v>0</v>
      </c>
      <c r="AD34" s="315">
        <f t="shared" si="6"/>
        <v>0</v>
      </c>
      <c r="AE34" s="316">
        <f t="shared" si="27"/>
        <v>0</v>
      </c>
      <c r="AF34" s="315">
        <f t="shared" si="28"/>
        <v>0</v>
      </c>
      <c r="AG34" s="316">
        <f t="shared" si="29"/>
        <v>0</v>
      </c>
      <c r="AH34" s="315">
        <f t="shared" si="7"/>
        <v>0</v>
      </c>
      <c r="AI34" s="123">
        <f>IF((D34&lt;&gt;""),VLOOKUP(D34,Data!$E$36:$H$53,4),)</f>
        <v>0</v>
      </c>
      <c r="AJ34" s="123">
        <f t="shared" si="8"/>
        <v>0</v>
      </c>
      <c r="AK34" s="4">
        <f t="shared" si="9"/>
        <v>0</v>
      </c>
      <c r="AL34" s="4">
        <f t="shared" si="10"/>
        <v>0</v>
      </c>
      <c r="AM34" s="1">
        <f t="shared" si="11"/>
        <v>0</v>
      </c>
      <c r="AN34" s="123">
        <f t="shared" si="12"/>
        <v>0</v>
      </c>
      <c r="AO34" s="317">
        <f t="shared" si="13"/>
        <v>0</v>
      </c>
      <c r="AP34" s="317">
        <f t="shared" si="14"/>
        <v>0</v>
      </c>
      <c r="AQ34" s="317">
        <f t="shared" si="15"/>
        <v>0</v>
      </c>
      <c r="AR34" s="317">
        <f t="shared" si="16"/>
        <v>0</v>
      </c>
      <c r="AS34" s="4">
        <f t="shared" si="17"/>
        <v>0</v>
      </c>
      <c r="AT34" s="4">
        <f t="shared" si="18"/>
        <v>0</v>
      </c>
      <c r="AU34" s="313">
        <f>IF(Data!$H$8="x",AV34,AW34)</f>
        <v>6.3333333333333304</v>
      </c>
      <c r="AV34" s="313">
        <f t="shared" si="19"/>
        <v>3.1666666666666652</v>
      </c>
      <c r="AW34" s="313">
        <f>IF(D34="V",AW33,(AW33+"07:36"))</f>
        <v>6.3333333333333304</v>
      </c>
      <c r="AX34" s="6" t="str">
        <f t="shared" si="20"/>
        <v>Di</v>
      </c>
      <c r="AY34" s="4">
        <f>IF((R40="O4bis")*AND(R41&lt;&gt;""),VLOOKUP(R41,Barema!$BG$39:$BH$65,2),)</f>
        <v>0</v>
      </c>
      <c r="AZ34" s="4" t="s">
        <v>35</v>
      </c>
      <c r="BA34" s="102"/>
    </row>
    <row r="35" spans="1:54" s="378" customFormat="1" x14ac:dyDescent="0.2">
      <c r="A35" s="309"/>
      <c r="B35" s="6" t="s">
        <v>179</v>
      </c>
      <c r="C35" s="311" t="s">
        <v>441</v>
      </c>
      <c r="D35" s="312"/>
      <c r="E35" s="312"/>
      <c r="F35" s="274"/>
      <c r="G35" s="274"/>
      <c r="H35" s="310"/>
      <c r="I35" s="310"/>
      <c r="J35" s="417"/>
      <c r="K35" s="417"/>
      <c r="L35" s="313">
        <f>(G35-F35)+(I35-H35)+(K35-J35)+AI35+AN35</f>
        <v>0</v>
      </c>
      <c r="M35" s="313">
        <f>M34+L35</f>
        <v>0.31666666666666665</v>
      </c>
      <c r="N35" s="338">
        <f>IF(Jun!$H$47="x",AU35+Jun!$N$36,AU35)</f>
        <v>6.6499999999999968</v>
      </c>
      <c r="O35" s="337" t="str">
        <f t="shared" si="21"/>
        <v>-</v>
      </c>
      <c r="P35" s="314">
        <f t="shared" si="22"/>
        <v>6.3333333333333304</v>
      </c>
      <c r="Q35" s="312">
        <f t="shared" si="0"/>
        <v>0</v>
      </c>
      <c r="R35" s="312">
        <f t="shared" si="1"/>
        <v>0</v>
      </c>
      <c r="S35" s="312">
        <f t="shared" si="2"/>
        <v>0</v>
      </c>
      <c r="T35" s="312">
        <f t="shared" si="3"/>
        <v>0</v>
      </c>
      <c r="U35" s="338">
        <f>IF(D35="F",L35,0)</f>
        <v>0</v>
      </c>
      <c r="V35" s="313">
        <f t="shared" si="23"/>
        <v>0</v>
      </c>
      <c r="W35" s="313">
        <f t="shared" si="24"/>
        <v>0</v>
      </c>
      <c r="X35" s="312"/>
      <c r="Y35" s="310"/>
      <c r="Z35" s="310"/>
      <c r="AA35" s="315">
        <f t="shared" si="4"/>
        <v>0</v>
      </c>
      <c r="AB35" s="315">
        <f t="shared" si="5"/>
        <v>0</v>
      </c>
      <c r="AC35" s="315">
        <f t="shared" si="26"/>
        <v>0</v>
      </c>
      <c r="AD35" s="315">
        <f t="shared" si="6"/>
        <v>0</v>
      </c>
      <c r="AE35" s="316">
        <f t="shared" si="27"/>
        <v>0</v>
      </c>
      <c r="AF35" s="315">
        <f t="shared" si="28"/>
        <v>0</v>
      </c>
      <c r="AG35" s="316">
        <f t="shared" si="29"/>
        <v>0</v>
      </c>
      <c r="AH35" s="315">
        <f t="shared" si="7"/>
        <v>0</v>
      </c>
      <c r="AI35" s="123">
        <f>IF((D35&lt;&gt;""),VLOOKUP(D35,Data!$E$36:$H$53,4),)</f>
        <v>0</v>
      </c>
      <c r="AJ35" s="123">
        <f t="shared" si="8"/>
        <v>0</v>
      </c>
      <c r="AK35" s="4">
        <f t="shared" si="9"/>
        <v>0</v>
      </c>
      <c r="AL35" s="4">
        <f t="shared" si="10"/>
        <v>0</v>
      </c>
      <c r="AM35" s="1">
        <f t="shared" si="11"/>
        <v>0</v>
      </c>
      <c r="AN35" s="123">
        <f t="shared" si="12"/>
        <v>0</v>
      </c>
      <c r="AO35" s="317">
        <f t="shared" si="13"/>
        <v>0</v>
      </c>
      <c r="AP35" s="317">
        <f t="shared" si="14"/>
        <v>0</v>
      </c>
      <c r="AQ35" s="317">
        <f t="shared" si="15"/>
        <v>0</v>
      </c>
      <c r="AR35" s="317">
        <f t="shared" si="16"/>
        <v>0</v>
      </c>
      <c r="AS35" s="4">
        <f t="shared" si="17"/>
        <v>0</v>
      </c>
      <c r="AT35" s="4">
        <f t="shared" si="18"/>
        <v>0</v>
      </c>
      <c r="AU35" s="313">
        <f>IF(Data!$H$8="x",AV35,AW35)</f>
        <v>6.6499999999999968</v>
      </c>
      <c r="AV35" s="313">
        <f t="shared" si="19"/>
        <v>3.3249999999999984</v>
      </c>
      <c r="AW35" s="313">
        <f>IF(D35="V",AW34,(AW34+"07:36"))</f>
        <v>6.6499999999999968</v>
      </c>
      <c r="AX35" s="6" t="str">
        <f t="shared" si="20"/>
        <v>Wo</v>
      </c>
      <c r="AY35" s="4">
        <f>IF((R40="O4bis-ir")*AND(R41&lt;&gt;""),VLOOKUP(R41,Barema!$AO$39:$AP$65,2),)</f>
        <v>0</v>
      </c>
      <c r="AZ35" s="4" t="s">
        <v>29</v>
      </c>
      <c r="BA35" s="102"/>
    </row>
    <row r="36" spans="1:54" s="378" customFormat="1" x14ac:dyDescent="0.2">
      <c r="A36" s="309"/>
      <c r="B36" s="6" t="s">
        <v>167</v>
      </c>
      <c r="C36" s="311" t="s">
        <v>442</v>
      </c>
      <c r="D36" s="312"/>
      <c r="E36" s="312"/>
      <c r="F36" s="274"/>
      <c r="G36" s="274"/>
      <c r="H36" s="310"/>
      <c r="I36" s="310"/>
      <c r="J36" s="417"/>
      <c r="K36" s="417"/>
      <c r="L36" s="313">
        <f>(G36-F36)+(I36-H36)+(K36-J36)+AI36+AN36</f>
        <v>0</v>
      </c>
      <c r="M36" s="313">
        <f>M35+L36</f>
        <v>0.31666666666666665</v>
      </c>
      <c r="N36" s="338">
        <f>IF(Jun!$H$47="x",AU36+Jun!$N$36,AU36)</f>
        <v>6.9666666666666632</v>
      </c>
      <c r="O36" s="337" t="str">
        <f t="shared" si="21"/>
        <v>-</v>
      </c>
      <c r="P36" s="314">
        <f t="shared" si="22"/>
        <v>6.6499999999999968</v>
      </c>
      <c r="Q36" s="312">
        <f t="shared" si="0"/>
        <v>0</v>
      </c>
      <c r="R36" s="312">
        <f t="shared" si="1"/>
        <v>0</v>
      </c>
      <c r="S36" s="312">
        <f t="shared" si="2"/>
        <v>0</v>
      </c>
      <c r="T36" s="312">
        <f t="shared" si="3"/>
        <v>0</v>
      </c>
      <c r="U36" s="338">
        <f>IF(D36="F",L36,0)</f>
        <v>0</v>
      </c>
      <c r="V36" s="313">
        <f t="shared" si="23"/>
        <v>0</v>
      </c>
      <c r="W36" s="313">
        <f t="shared" si="24"/>
        <v>0</v>
      </c>
      <c r="X36" s="312"/>
      <c r="Y36" s="310"/>
      <c r="Z36" s="310"/>
      <c r="AA36" s="315">
        <f t="shared" si="4"/>
        <v>0</v>
      </c>
      <c r="AB36" s="315">
        <f t="shared" si="5"/>
        <v>0</v>
      </c>
      <c r="AC36" s="315">
        <f t="shared" si="26"/>
        <v>0</v>
      </c>
      <c r="AD36" s="315">
        <f t="shared" si="6"/>
        <v>0</v>
      </c>
      <c r="AE36" s="316">
        <f t="shared" si="27"/>
        <v>0</v>
      </c>
      <c r="AF36" s="315">
        <f t="shared" si="28"/>
        <v>0</v>
      </c>
      <c r="AG36" s="316">
        <f t="shared" si="29"/>
        <v>0</v>
      </c>
      <c r="AH36" s="315">
        <f t="shared" si="7"/>
        <v>0</v>
      </c>
      <c r="AI36" s="123">
        <f>IF((D36&lt;&gt;""),VLOOKUP(D36,Data!$E$36:$H$53,4),)</f>
        <v>0</v>
      </c>
      <c r="AJ36" s="123">
        <f t="shared" si="8"/>
        <v>0</v>
      </c>
      <c r="AK36" s="4">
        <f t="shared" si="9"/>
        <v>0</v>
      </c>
      <c r="AL36" s="4">
        <f t="shared" si="10"/>
        <v>0</v>
      </c>
      <c r="AM36" s="1">
        <f t="shared" si="11"/>
        <v>0</v>
      </c>
      <c r="AN36" s="123">
        <f t="shared" si="12"/>
        <v>0</v>
      </c>
      <c r="AO36" s="317">
        <f t="shared" si="13"/>
        <v>0</v>
      </c>
      <c r="AP36" s="317">
        <f t="shared" si="14"/>
        <v>0</v>
      </c>
      <c r="AQ36" s="317">
        <f t="shared" si="15"/>
        <v>0</v>
      </c>
      <c r="AR36" s="317">
        <f t="shared" si="16"/>
        <v>0</v>
      </c>
      <c r="AS36" s="4">
        <f t="shared" si="17"/>
        <v>0</v>
      </c>
      <c r="AT36" s="4">
        <f t="shared" si="18"/>
        <v>0</v>
      </c>
      <c r="AU36" s="313">
        <f>IF(Data!$H$8="x",AV36,AW36)</f>
        <v>6.9666666666666632</v>
      </c>
      <c r="AV36" s="313">
        <f t="shared" si="19"/>
        <v>3.4833333333333316</v>
      </c>
      <c r="AW36" s="313">
        <f>IF(D36="V",AW35,(AW35+"07:36"))</f>
        <v>6.9666666666666632</v>
      </c>
      <c r="AX36" s="6" t="str">
        <f t="shared" si="20"/>
        <v>Do</v>
      </c>
      <c r="AY36" s="4">
        <f>IF((R40="O4ir")*AND(R41&lt;&gt;""),VLOOKUP(R41,Barema!$AX$39:$AY$65,2),)</f>
        <v>0</v>
      </c>
      <c r="AZ36" s="4" t="s">
        <v>32</v>
      </c>
      <c r="BA36" s="102"/>
    </row>
    <row r="37" spans="1:54" s="378" customFormat="1" x14ac:dyDescent="0.2">
      <c r="A37" s="309"/>
      <c r="B37" s="6" t="s">
        <v>169</v>
      </c>
      <c r="C37" s="311" t="s">
        <v>443</v>
      </c>
      <c r="D37" s="312"/>
      <c r="E37" s="312"/>
      <c r="F37" s="274"/>
      <c r="G37" s="274"/>
      <c r="H37" s="310"/>
      <c r="I37" s="310"/>
      <c r="J37" s="310"/>
      <c r="K37" s="310"/>
      <c r="L37" s="313">
        <f>(G37-F37)+(I37-H37)+(K37-J37)+AI37+AN37</f>
        <v>0</v>
      </c>
      <c r="M37" s="313">
        <f t="shared" si="25"/>
        <v>0.31666666666666665</v>
      </c>
      <c r="N37" s="338">
        <f>IF(Jun!$H$47="x",AU37+Jun!$N$36,AU37)</f>
        <v>7.2833333333333297</v>
      </c>
      <c r="O37" s="337" t="str">
        <f t="shared" si="21"/>
        <v>-</v>
      </c>
      <c r="P37" s="314">
        <f t="shared" si="22"/>
        <v>6.9666666666666632</v>
      </c>
      <c r="Q37" s="312">
        <f t="shared" si="0"/>
        <v>0</v>
      </c>
      <c r="R37" s="312">
        <f t="shared" si="1"/>
        <v>0</v>
      </c>
      <c r="S37" s="312">
        <f t="shared" si="2"/>
        <v>0</v>
      </c>
      <c r="T37" s="312">
        <f t="shared" si="3"/>
        <v>0</v>
      </c>
      <c r="U37" s="338">
        <f>IF(D37="F",L37,0)</f>
        <v>0</v>
      </c>
      <c r="V37" s="313">
        <f t="shared" si="23"/>
        <v>0</v>
      </c>
      <c r="W37" s="313">
        <f t="shared" si="24"/>
        <v>0</v>
      </c>
      <c r="X37" s="312"/>
      <c r="Y37" s="310"/>
      <c r="Z37" s="310"/>
      <c r="AA37" s="315">
        <f t="shared" si="4"/>
        <v>0</v>
      </c>
      <c r="AB37" s="315">
        <f t="shared" si="5"/>
        <v>0</v>
      </c>
      <c r="AC37" s="315">
        <f t="shared" si="26"/>
        <v>0</v>
      </c>
      <c r="AD37" s="315">
        <f t="shared" si="6"/>
        <v>0</v>
      </c>
      <c r="AE37" s="316">
        <f t="shared" si="27"/>
        <v>0</v>
      </c>
      <c r="AF37" s="315">
        <f t="shared" si="28"/>
        <v>0</v>
      </c>
      <c r="AG37" s="316">
        <f t="shared" si="29"/>
        <v>0</v>
      </c>
      <c r="AH37" s="315">
        <f t="shared" si="7"/>
        <v>0</v>
      </c>
      <c r="AI37" s="123">
        <f>IF((D37&lt;&gt;""),VLOOKUP(D37,Data!$E$36:$H$53,4),)</f>
        <v>0</v>
      </c>
      <c r="AJ37" s="123">
        <f t="shared" si="8"/>
        <v>0</v>
      </c>
      <c r="AK37" s="4">
        <f t="shared" si="9"/>
        <v>0</v>
      </c>
      <c r="AL37" s="4">
        <f t="shared" si="10"/>
        <v>0</v>
      </c>
      <c r="AM37" s="1">
        <f t="shared" si="11"/>
        <v>0</v>
      </c>
      <c r="AN37" s="123">
        <f t="shared" si="12"/>
        <v>0</v>
      </c>
      <c r="AO37" s="317">
        <f t="shared" si="13"/>
        <v>0</v>
      </c>
      <c r="AP37" s="317">
        <f t="shared" si="14"/>
        <v>0</v>
      </c>
      <c r="AQ37" s="317">
        <f t="shared" si="15"/>
        <v>0</v>
      </c>
      <c r="AR37" s="317">
        <f t="shared" si="16"/>
        <v>0</v>
      </c>
      <c r="AS37" s="4">
        <f t="shared" si="17"/>
        <v>0</v>
      </c>
      <c r="AT37" s="4">
        <f t="shared" si="18"/>
        <v>0</v>
      </c>
      <c r="AU37" s="313">
        <f>IF(Data!$H$8="x",AV37,AW37)</f>
        <v>7.2833333333333297</v>
      </c>
      <c r="AV37" s="313">
        <f t="shared" si="19"/>
        <v>3.6416666666666648</v>
      </c>
      <c r="AW37" s="313">
        <f>IF(D37="V",AW36,(AW36+"07:36"))</f>
        <v>7.2833333333333297</v>
      </c>
      <c r="AX37" s="6" t="str">
        <f t="shared" si="20"/>
        <v>Vr</v>
      </c>
      <c r="AY37" s="4">
        <f>IF((R40="O5")*AND(R41&lt;&gt;""),VLOOKUP(R41,Barema!$AC$39:$AD$65,2),)</f>
        <v>0</v>
      </c>
      <c r="AZ37" s="4" t="s">
        <v>25</v>
      </c>
      <c r="BA37" s="102"/>
    </row>
    <row r="38" spans="1:54" x14ac:dyDescent="0.2">
      <c r="AB38" s="123">
        <f t="shared" ref="AB38:AI38" si="30">SUM(AA7:AA37)</f>
        <v>0</v>
      </c>
      <c r="AC38" s="123">
        <f t="shared" si="30"/>
        <v>0</v>
      </c>
      <c r="AD38" s="123">
        <f t="shared" si="30"/>
        <v>0</v>
      </c>
      <c r="AE38" s="123">
        <f t="shared" si="30"/>
        <v>0</v>
      </c>
      <c r="AF38" s="123">
        <f t="shared" si="30"/>
        <v>0</v>
      </c>
      <c r="AG38" s="123">
        <f t="shared" si="30"/>
        <v>0</v>
      </c>
      <c r="AH38" s="123">
        <f t="shared" si="30"/>
        <v>0</v>
      </c>
      <c r="AI38" s="123">
        <f t="shared" si="30"/>
        <v>0</v>
      </c>
      <c r="AK38" s="123">
        <f>SUM(AJ7:AJ37)</f>
        <v>0</v>
      </c>
      <c r="AM38" s="4">
        <f>SUM(AL7:AL37)+AT38</f>
        <v>0</v>
      </c>
      <c r="AN38" s="1"/>
      <c r="AO38" s="4"/>
      <c r="AP38" s="4">
        <f>SUM(AO7:AO37)</f>
        <v>0</v>
      </c>
      <c r="AQ38" s="4">
        <f>SUM(AP7:AP37)</f>
        <v>0</v>
      </c>
      <c r="AR38" s="4">
        <f>SUM(AQ7:AQ37)</f>
        <v>0</v>
      </c>
      <c r="AS38" s="4">
        <f>SUM(AR7:AR37)</f>
        <v>0</v>
      </c>
      <c r="AT38" s="4">
        <f>SUM(AS7:AS37)</f>
        <v>0</v>
      </c>
      <c r="AU38" s="4">
        <f>SUM(AT7:AT37)+AT38</f>
        <v>0</v>
      </c>
      <c r="AY38" s="4">
        <f>IF((R40="O5ir")*AND(R41&lt;&gt;""),VLOOKUP(R41,Barema!$BA$39:$BB$65,2),)</f>
        <v>0</v>
      </c>
      <c r="AZ38" s="4" t="s">
        <v>33</v>
      </c>
      <c r="BB38" s="4"/>
    </row>
    <row r="39" spans="1:54" x14ac:dyDescent="0.2">
      <c r="C39" s="166" t="s">
        <v>92</v>
      </c>
      <c r="D39" s="24"/>
      <c r="E39" s="24"/>
      <c r="F39" s="24"/>
      <c r="G39" s="24"/>
      <c r="H39" s="24"/>
      <c r="W39" s="70"/>
      <c r="X39" s="70"/>
      <c r="Z39" s="74" t="s">
        <v>205</v>
      </c>
      <c r="AA39" s="260" t="s">
        <v>206</v>
      </c>
      <c r="AB39" s="123">
        <f t="shared" ref="AB39:AI39" si="31">IF((MINUTE(AB38)&gt;=30),(AB38+0.041666667),AB38)</f>
        <v>0</v>
      </c>
      <c r="AC39" s="123">
        <f t="shared" si="31"/>
        <v>0</v>
      </c>
      <c r="AD39" s="123">
        <f t="shared" si="31"/>
        <v>0</v>
      </c>
      <c r="AE39" s="123">
        <f t="shared" si="31"/>
        <v>0</v>
      </c>
      <c r="AF39" s="123">
        <f t="shared" si="31"/>
        <v>0</v>
      </c>
      <c r="AG39" s="123">
        <f t="shared" si="31"/>
        <v>0</v>
      </c>
      <c r="AH39" s="123">
        <f t="shared" si="31"/>
        <v>0</v>
      </c>
      <c r="AI39" s="123">
        <f t="shared" si="31"/>
        <v>0</v>
      </c>
      <c r="AK39" s="123">
        <f>IF((MINUTE(AK38)&gt;=30),(AK38+0.041666667),AK38)</f>
        <v>0</v>
      </c>
      <c r="AM39" s="62">
        <f>AM38*(6.7*AA40)</f>
        <v>0</v>
      </c>
      <c r="AN39" s="1">
        <f>SUM(AM7:AM37)</f>
        <v>0</v>
      </c>
      <c r="AO39" s="4"/>
      <c r="AP39" s="4"/>
      <c r="AQ39" s="4"/>
      <c r="AR39" s="4"/>
      <c r="AS39" s="4"/>
      <c r="AT39" s="4"/>
      <c r="AU39" s="4"/>
      <c r="AY39" s="4">
        <f>IF((R40="O6")*AND(R41&lt;&gt;""),VLOOKUP(R41,Barema!$AF$39:$AG$65,2),)</f>
        <v>0</v>
      </c>
      <c r="AZ39" s="4" t="s">
        <v>26</v>
      </c>
      <c r="BB39" s="4"/>
    </row>
    <row r="40" spans="1:54" x14ac:dyDescent="0.2">
      <c r="C40" s="42" t="s">
        <v>207</v>
      </c>
      <c r="D40" s="43"/>
      <c r="E40" s="43"/>
      <c r="F40" s="43"/>
      <c r="G40" s="44"/>
      <c r="H40" s="28">
        <f>Jun!$H$44</f>
        <v>36</v>
      </c>
      <c r="J40" s="9" t="s">
        <v>444</v>
      </c>
      <c r="K40" s="10"/>
      <c r="L40" s="11"/>
      <c r="M40" s="10"/>
      <c r="N40" s="18"/>
      <c r="O40" s="10"/>
      <c r="P40" s="11"/>
      <c r="Q40" s="11"/>
      <c r="R40" s="441" t="s">
        <v>16</v>
      </c>
      <c r="S40" s="442"/>
      <c r="T40" s="319" t="s">
        <v>696</v>
      </c>
      <c r="U40" s="320"/>
      <c r="V40" s="321"/>
      <c r="W40" s="107"/>
      <c r="X40" s="1"/>
      <c r="Z40" s="132">
        <v>2.1223000000000001</v>
      </c>
      <c r="AA40" s="261">
        <f>Z40</f>
        <v>2.1223000000000001</v>
      </c>
      <c r="AB40" s="123">
        <f t="shared" ref="AB40:AI40" si="32">IF(MINUTE(AB39)&gt;0,FLOOR(AB39,0.041666667),AB39)</f>
        <v>0</v>
      </c>
      <c r="AC40" s="123">
        <f t="shared" si="32"/>
        <v>0</v>
      </c>
      <c r="AD40" s="123">
        <f t="shared" si="32"/>
        <v>0</v>
      </c>
      <c r="AE40" s="123">
        <f t="shared" si="32"/>
        <v>0</v>
      </c>
      <c r="AF40" s="123">
        <f t="shared" si="32"/>
        <v>0</v>
      </c>
      <c r="AG40" s="123">
        <f t="shared" si="32"/>
        <v>0</v>
      </c>
      <c r="AH40" s="123">
        <f t="shared" si="32"/>
        <v>0</v>
      </c>
      <c r="AI40" s="123">
        <f t="shared" si="32"/>
        <v>0</v>
      </c>
      <c r="AK40" s="140">
        <f>IF(MINUTE(AK39)&gt;0,FLOOR(AK39,0.041666667),AK39)</f>
        <v>0</v>
      </c>
      <c r="AL40" s="4"/>
      <c r="AM40" s="4"/>
      <c r="AO40" s="4"/>
      <c r="AP40" s="4"/>
      <c r="AQ40" s="4"/>
      <c r="AR40" s="4"/>
      <c r="AS40" s="4"/>
      <c r="AT40" s="4"/>
      <c r="AU40" s="4"/>
      <c r="AY40" s="4">
        <f>IF((R40="O6ir")*AND(R41&lt;&gt;""),VLOOKUP(R41,Barema!$BD$39:$BE$65,2),)</f>
        <v>0</v>
      </c>
      <c r="AZ40" s="4" t="s">
        <v>34</v>
      </c>
      <c r="BB40" s="4"/>
    </row>
    <row r="41" spans="1:54" ht="13.5" thickBot="1" x14ac:dyDescent="0.25">
      <c r="C41" s="42" t="s">
        <v>210</v>
      </c>
      <c r="D41" s="43"/>
      <c r="E41" s="43"/>
      <c r="F41" s="43"/>
      <c r="G41" s="144" t="s">
        <v>211</v>
      </c>
      <c r="H41" s="81">
        <v>0</v>
      </c>
      <c r="J41" s="12" t="s">
        <v>445</v>
      </c>
      <c r="K41" s="13"/>
      <c r="L41" s="14"/>
      <c r="M41" s="13"/>
      <c r="N41" s="13"/>
      <c r="O41" s="13"/>
      <c r="P41" s="14"/>
      <c r="Q41" s="14"/>
      <c r="R41" s="443">
        <v>22</v>
      </c>
      <c r="S41" s="444"/>
      <c r="T41" s="328">
        <f>AY55</f>
        <v>33228</v>
      </c>
      <c r="U41" s="330"/>
      <c r="V41" s="331"/>
      <c r="W41" s="318"/>
      <c r="X41" s="318"/>
      <c r="Z41" s="1"/>
      <c r="AA41" s="1"/>
      <c r="AF41" s="4"/>
      <c r="AG41" s="88"/>
      <c r="AH41" s="10" t="s">
        <v>217</v>
      </c>
      <c r="AI41" s="10"/>
      <c r="AJ41" s="89"/>
      <c r="AK41" s="78" t="s">
        <v>219</v>
      </c>
      <c r="AL41" s="10"/>
      <c r="AM41" s="89"/>
      <c r="AP41" s="4"/>
      <c r="AQ41" s="4"/>
      <c r="AR41" s="4"/>
      <c r="AS41" s="4"/>
      <c r="AT41" s="4"/>
      <c r="AU41" s="4"/>
      <c r="AY41" s="4">
        <f>IF((R40="O7")*AND(R41&lt;&gt;""),VLOOKUP(R41,Barema!$AI$39:$AJ$68,2),)</f>
        <v>0</v>
      </c>
      <c r="AZ41" s="4" t="s">
        <v>27</v>
      </c>
      <c r="BB41" s="2"/>
    </row>
    <row r="42" spans="1:54" ht="13.5" thickTop="1" x14ac:dyDescent="0.2">
      <c r="C42" s="308" t="s">
        <v>695</v>
      </c>
      <c r="D42" s="146"/>
      <c r="E42" s="146"/>
      <c r="F42" s="100"/>
      <c r="G42" s="147" t="s">
        <v>211</v>
      </c>
      <c r="H42" s="79">
        <f>AN39</f>
        <v>0</v>
      </c>
      <c r="I42" s="32"/>
      <c r="J42" s="15" t="s">
        <v>213</v>
      </c>
      <c r="K42" s="4"/>
      <c r="L42" s="63"/>
      <c r="M42" s="275">
        <f>AK40</f>
        <v>0</v>
      </c>
      <c r="N42" s="4" t="s">
        <v>214</v>
      </c>
      <c r="O42" s="54"/>
      <c r="P42" s="1"/>
      <c r="Q42" s="1"/>
      <c r="R42" s="1"/>
      <c r="S42" s="15"/>
      <c r="T42" s="54"/>
      <c r="U42" s="325">
        <f>(M42*AK43/0.041666667)</f>
        <v>0</v>
      </c>
      <c r="V42" s="19" t="s">
        <v>215</v>
      </c>
      <c r="W42" s="106"/>
      <c r="X42" s="1"/>
      <c r="Y42" s="134" t="s">
        <v>216</v>
      </c>
      <c r="Z42" s="135"/>
      <c r="AF42" s="62"/>
      <c r="AG42" s="15"/>
      <c r="AH42" s="4">
        <f>X41*1.2434/1850</f>
        <v>0</v>
      </c>
      <c r="AI42" s="4"/>
      <c r="AJ42" s="33"/>
      <c r="AK42" s="15">
        <f>T41*AA40/1850</f>
        <v>38.118802378378383</v>
      </c>
      <c r="AL42" s="4" t="s">
        <v>218</v>
      </c>
      <c r="AM42" s="33"/>
      <c r="AP42" s="4"/>
      <c r="AQ42" s="4"/>
      <c r="AR42" s="4"/>
      <c r="AS42" s="4"/>
      <c r="AT42" s="4"/>
      <c r="AU42" s="4"/>
      <c r="AY42" s="4">
        <f>IF((R40="O8")*AND(R41&lt;&gt;""),VLOOKUP(R41,Barema!$AL$39:$AM$68,2),)</f>
        <v>0</v>
      </c>
      <c r="AZ42" s="4" t="s">
        <v>28</v>
      </c>
      <c r="BB42" s="2"/>
    </row>
    <row r="43" spans="1:54" x14ac:dyDescent="0.2">
      <c r="C43" s="42" t="s">
        <v>220</v>
      </c>
      <c r="D43" s="43"/>
      <c r="E43" s="43"/>
      <c r="F43" s="43"/>
      <c r="G43" s="144" t="s">
        <v>221</v>
      </c>
      <c r="H43" s="28">
        <f>AB43+(AB44/2)+(AB45/2)</f>
        <v>0</v>
      </c>
      <c r="J43" s="15" t="s">
        <v>224</v>
      </c>
      <c r="M43" s="141">
        <f>AF40</f>
        <v>0</v>
      </c>
      <c r="N43" s="4" t="s">
        <v>214</v>
      </c>
      <c r="O43" s="4"/>
      <c r="P43" s="4"/>
      <c r="Q43" s="4"/>
      <c r="R43" s="4"/>
      <c r="S43" s="15"/>
      <c r="T43" s="54"/>
      <c r="U43" s="325">
        <f>(M43*AK51/0.041666667)</f>
        <v>0</v>
      </c>
      <c r="V43" s="19" t="s">
        <v>215</v>
      </c>
      <c r="W43" s="106"/>
      <c r="X43" s="1"/>
      <c r="Y43" s="136" t="s">
        <v>222</v>
      </c>
      <c r="Z43" s="137"/>
      <c r="AB43" s="4">
        <f>COUNTIF(AK7:AK37,"1")</f>
        <v>0</v>
      </c>
      <c r="AD43" s="4" t="e">
        <f>M45*78</f>
        <v>#VALUE!</v>
      </c>
      <c r="AG43" s="198" t="s">
        <v>122</v>
      </c>
      <c r="AH43" s="4">
        <f>AH42*0.9645*AK49/100*1.45</f>
        <v>0</v>
      </c>
      <c r="AI43" s="4"/>
      <c r="AJ43" s="33"/>
      <c r="AK43" s="197">
        <f>(AK42*0.9645)*AK49/100</f>
        <v>17.095996975684866</v>
      </c>
      <c r="AL43" s="17" t="s">
        <v>223</v>
      </c>
      <c r="AM43" s="40"/>
      <c r="AP43" s="4"/>
      <c r="AQ43" s="4"/>
      <c r="AR43" s="4"/>
      <c r="AS43" s="4"/>
      <c r="AT43" s="4"/>
      <c r="AU43" s="4"/>
      <c r="AY43" s="17">
        <f>IF((R40="HAU4")*AND(R41&lt;&gt;""),VLOOKUP(R41,Barema!$BJ$39:$BK$65,2),)</f>
        <v>0</v>
      </c>
      <c r="AZ43" s="17" t="s">
        <v>705</v>
      </c>
      <c r="BB43" s="2"/>
    </row>
    <row r="44" spans="1:54" x14ac:dyDescent="0.2">
      <c r="C44" s="45"/>
      <c r="D44" s="46"/>
      <c r="E44" s="46"/>
      <c r="F44" s="46"/>
      <c r="G44" s="47"/>
      <c r="H44" s="51"/>
      <c r="J44" s="15" t="s">
        <v>228</v>
      </c>
      <c r="M44" s="141">
        <f>AG40</f>
        <v>0</v>
      </c>
      <c r="N44" s="4" t="s">
        <v>214</v>
      </c>
      <c r="O44" s="4"/>
      <c r="P44" s="4"/>
      <c r="Q44" s="4"/>
      <c r="R44" s="4"/>
      <c r="S44" s="15"/>
      <c r="T44" s="54"/>
      <c r="U44" s="325">
        <f>(M44*AK52/0.041666667)</f>
        <v>0</v>
      </c>
      <c r="V44" s="19" t="s">
        <v>215</v>
      </c>
      <c r="W44" s="106"/>
      <c r="X44" s="1"/>
      <c r="Y44" s="139">
        <f>AK48</f>
        <v>53.5</v>
      </c>
      <c r="Z44" s="138"/>
      <c r="AB44" s="4">
        <f>COUNTIF(AK7:AK37,"2")</f>
        <v>0</v>
      </c>
      <c r="AD44" s="4" t="e">
        <f>M46*23</f>
        <v>#VALUE!</v>
      </c>
      <c r="AG44" s="16" t="s">
        <v>225</v>
      </c>
      <c r="AH44" s="17">
        <f>(W41*1.2434/1850)*0.009645*AK49</f>
        <v>0</v>
      </c>
      <c r="AI44" s="17"/>
      <c r="AJ44" s="40"/>
      <c r="AK44" s="4">
        <v>1.24</v>
      </c>
      <c r="AL44" s="4" t="s">
        <v>226</v>
      </c>
      <c r="AP44" s="4"/>
      <c r="AQ44" s="4"/>
      <c r="AR44" s="4"/>
      <c r="AS44" s="4"/>
      <c r="AT44" s="4"/>
      <c r="AU44" s="4"/>
      <c r="AY44" s="17">
        <f>IF((R40="BAGP1")*AND(R41&lt;&gt;""),VLOOKUP(R41,Barema!$Q$5:$R$31,2),)</f>
        <v>0</v>
      </c>
      <c r="AZ44" s="17" t="s">
        <v>710</v>
      </c>
      <c r="BB44" s="2"/>
    </row>
    <row r="45" spans="1:54" x14ac:dyDescent="0.2">
      <c r="C45" s="48" t="s">
        <v>227</v>
      </c>
      <c r="D45" s="49"/>
      <c r="E45" s="49"/>
      <c r="F45" s="49"/>
      <c r="G45" s="50"/>
      <c r="H45" s="52">
        <f>H40-H43+H41+H42</f>
        <v>36</v>
      </c>
      <c r="J45" s="15" t="str">
        <f>IF(Jan!AH49=2,"Middagmaal","")</f>
        <v/>
      </c>
      <c r="K45" s="4"/>
      <c r="L45" s="1"/>
      <c r="M45" s="65" t="str">
        <f>IF(Jan!AH49=2,COUNTIF(Q7:Q37,"1"),"")</f>
        <v/>
      </c>
      <c r="N45" s="4"/>
      <c r="O45" s="4"/>
      <c r="P45" s="1"/>
      <c r="Q45" s="1"/>
      <c r="R45" s="1"/>
      <c r="S45" s="15"/>
      <c r="T45" s="54"/>
      <c r="U45" s="325" t="str">
        <f>IF(Jan!AH49=2,(M45*AK45*AA40+(R45*AA40*6.2)),"")</f>
        <v/>
      </c>
      <c r="V45" s="19" t="str">
        <f>IF(Jan!AH49=2,"€","")</f>
        <v/>
      </c>
      <c r="W45" s="106"/>
      <c r="X45" s="1"/>
      <c r="Y45" s="1"/>
      <c r="Z45" s="1"/>
      <c r="AA45" s="1"/>
      <c r="AB45" s="4">
        <f>COUNTIF(AK7:AK37,"7")</f>
        <v>0</v>
      </c>
      <c r="AG45" s="4"/>
      <c r="AH45" s="4"/>
      <c r="AI45" s="4"/>
      <c r="AK45" s="4">
        <v>2.48</v>
      </c>
      <c r="AL45" s="4" t="s">
        <v>161</v>
      </c>
      <c r="AY45" s="17">
        <f>IF((R40="BAGP2")*AND(R41&lt;&gt;""),VLOOKUP(R41,Barema!$T$5:$U$31,2),)</f>
        <v>0</v>
      </c>
      <c r="AZ45" s="4" t="s">
        <v>711</v>
      </c>
      <c r="BB45" s="2"/>
    </row>
    <row r="46" spans="1:54" x14ac:dyDescent="0.2">
      <c r="J46" s="15" t="str">
        <f>IF(Jan!AH49=2,"Avondmaal","")</f>
        <v/>
      </c>
      <c r="K46" s="4"/>
      <c r="L46" s="1"/>
      <c r="M46" s="65" t="str">
        <f>IF(Jan!AH49=2,COUNTIF(R7:R37,"1"),"")</f>
        <v/>
      </c>
      <c r="N46" s="4"/>
      <c r="O46" s="4"/>
      <c r="P46" s="1"/>
      <c r="Q46" s="1"/>
      <c r="R46" s="1"/>
      <c r="S46" s="15"/>
      <c r="T46" s="54"/>
      <c r="U46" s="325" t="str">
        <f>IF(Jan!AH49=2,(M46*AK46*AA40+(R46*AA40*6.2)),"")</f>
        <v/>
      </c>
      <c r="V46" s="19" t="str">
        <f>IF(Jan!AH49=2,"€","")</f>
        <v/>
      </c>
      <c r="W46" s="106"/>
      <c r="X46" s="1"/>
      <c r="Y46" s="1"/>
      <c r="Z46" s="1"/>
      <c r="AA46" s="1"/>
      <c r="AB46" s="4" t="s">
        <v>348</v>
      </c>
      <c r="AC46" s="4"/>
      <c r="AF46" s="4">
        <f>M50*23</f>
        <v>0</v>
      </c>
      <c r="AG46" s="4"/>
      <c r="AH46" s="4"/>
      <c r="AI46" s="4"/>
      <c r="AK46" s="4">
        <v>2.48</v>
      </c>
      <c r="AL46" s="4" t="s">
        <v>162</v>
      </c>
      <c r="AY46" s="17">
        <f>IF((R40="BAGP3")*AND(R41&lt;&gt;""),VLOOKUP(R41,Barema!$W$5:$X$31,2),)</f>
        <v>0</v>
      </c>
      <c r="AZ46" s="4" t="s">
        <v>712</v>
      </c>
      <c r="BB46" s="2"/>
    </row>
    <row r="47" spans="1:54" x14ac:dyDescent="0.2">
      <c r="C47" s="166" t="s">
        <v>230</v>
      </c>
      <c r="F47" s="4"/>
      <c r="G47" s="74" t="s">
        <v>231</v>
      </c>
      <c r="H47" s="74" t="s">
        <v>232</v>
      </c>
      <c r="J47" s="15" t="str">
        <f>IF(Jan!AH49=2,"Nachtmaal","")</f>
        <v/>
      </c>
      <c r="K47" s="4"/>
      <c r="L47" s="104"/>
      <c r="M47" s="65" t="str">
        <f>IF(Jan!AH49=2,COUNTIF(S7:S37,"1"),"")</f>
        <v/>
      </c>
      <c r="N47" s="4"/>
      <c r="O47" s="4"/>
      <c r="P47" s="4"/>
      <c r="Q47" s="4"/>
      <c r="R47" s="1"/>
      <c r="S47" s="15"/>
      <c r="T47" s="54"/>
      <c r="U47" s="325" t="str">
        <f>IF(Jan!AH49=2,(M47*AK47*AA40+(R47*AA40*3.48)),"")</f>
        <v/>
      </c>
      <c r="V47" s="19" t="str">
        <f>IF(Jan!AH49=2,"€","")</f>
        <v/>
      </c>
      <c r="W47" s="106"/>
      <c r="X47" s="1"/>
      <c r="Y47" s="1"/>
      <c r="Z47" s="1"/>
      <c r="AA47" s="1"/>
      <c r="AB47" s="4">
        <f>IF((M37-N37-U4)&gt;0,(M37-N37-U4-G55),)</f>
        <v>0</v>
      </c>
      <c r="AC47" s="4">
        <f>IF((MINUTE(AB47)&gt;=30),(0.041666667),)</f>
        <v>0</v>
      </c>
      <c r="AD47" s="4">
        <f>AB47+AC47</f>
        <v>0</v>
      </c>
      <c r="AE47" s="4">
        <f>AD47</f>
        <v>0</v>
      </c>
      <c r="AG47" s="4"/>
      <c r="AH47" s="4"/>
      <c r="AI47" s="4"/>
      <c r="AK47" s="4">
        <v>1.74</v>
      </c>
      <c r="AL47" s="4" t="s">
        <v>233</v>
      </c>
      <c r="AY47" s="17">
        <f>IF((R40="BAGP4")*AND(R41&lt;&gt;""),VLOOKUP(R41,Barema!$BJ$39:$BK$65,2),)</f>
        <v>0</v>
      </c>
      <c r="AZ47" s="4" t="s">
        <v>713</v>
      </c>
      <c r="BB47" s="2"/>
    </row>
    <row r="48" spans="1:54" x14ac:dyDescent="0.2">
      <c r="C48" s="24" t="s">
        <v>234</v>
      </c>
      <c r="G48" s="92"/>
      <c r="H48" s="92" t="s">
        <v>109</v>
      </c>
      <c r="J48" s="15" t="str">
        <f>IF(Jan!AH49=2,"Morgenmaal","")</f>
        <v/>
      </c>
      <c r="K48" s="4"/>
      <c r="L48" s="104"/>
      <c r="M48" s="65" t="str">
        <f>IF(Jan!AH49=2,COUNTIF(T7:T37,"1"),"")</f>
        <v/>
      </c>
      <c r="N48" s="4"/>
      <c r="O48" s="4"/>
      <c r="P48" s="4"/>
      <c r="Q48" s="4"/>
      <c r="R48" s="1"/>
      <c r="S48" s="15"/>
      <c r="T48" s="54"/>
      <c r="U48" s="325" t="str">
        <f>IF(Jan!AH49=2,(M48*AK44*AA40+(R48*AA40*2.48)),"")</f>
        <v/>
      </c>
      <c r="V48" s="19" t="str">
        <f>IF(Jan!AH49=2,"€","")</f>
        <v/>
      </c>
      <c r="W48" s="106"/>
      <c r="X48" s="1"/>
      <c r="AB48" s="4"/>
      <c r="AC48" s="4"/>
      <c r="AD48" s="4"/>
      <c r="AE48" s="4">
        <f>HOUR(AE47)</f>
        <v>0</v>
      </c>
      <c r="AG48" s="4"/>
      <c r="AH48" s="4"/>
      <c r="AI48" s="4"/>
      <c r="AK48" s="4">
        <f>VLOOKUP(AS48,Data!$F$80:$H$91,3)</f>
        <v>53.5</v>
      </c>
      <c r="AL48" s="4" t="s">
        <v>235</v>
      </c>
      <c r="AP48" s="256">
        <f>T41*Z40</f>
        <v>70519.784400000004</v>
      </c>
      <c r="AQ48" s="2">
        <f>AP48*0.075</f>
        <v>5288.9838300000001</v>
      </c>
      <c r="AR48" s="2">
        <f>AP48*0.0355</f>
        <v>2503.4523461999997</v>
      </c>
      <c r="AS48" s="142">
        <f>AP48-AQ48-AR48</f>
        <v>62727.348223800007</v>
      </c>
      <c r="AY48" s="17">
        <f>IF((R40="BASP1")*AND(R41&lt;&gt;""),VLOOKUP(R41,Barema!$BM$39:$BN$69,2),)</f>
        <v>0</v>
      </c>
      <c r="AZ48" s="4" t="s">
        <v>706</v>
      </c>
      <c r="BB48" s="2"/>
    </row>
    <row r="49" spans="3:54" x14ac:dyDescent="0.2">
      <c r="J49" s="15" t="s">
        <v>238</v>
      </c>
      <c r="K49" s="4"/>
      <c r="L49" s="4"/>
      <c r="M49" s="141">
        <f>IF(AND(O37="+",G48="x",AB47&gt;=0),AB51,0)</f>
        <v>0</v>
      </c>
      <c r="N49" s="4" t="s">
        <v>214</v>
      </c>
      <c r="O49" s="54"/>
      <c r="P49" s="1"/>
      <c r="Q49" s="1"/>
      <c r="R49" s="1"/>
      <c r="S49" s="15"/>
      <c r="T49" s="54"/>
      <c r="U49" s="325">
        <f>(M49*AK43/0.041666667)</f>
        <v>0</v>
      </c>
      <c r="V49" s="19" t="s">
        <v>215</v>
      </c>
      <c r="W49" s="106"/>
      <c r="X49" s="1"/>
      <c r="AB49" s="4">
        <f>HOUR(AD47)*0.041666667</f>
        <v>0</v>
      </c>
      <c r="AD49" s="4"/>
      <c r="AG49" s="4"/>
      <c r="AH49" s="4"/>
      <c r="AI49" s="4"/>
      <c r="AK49" s="4">
        <f>100-AK48</f>
        <v>46.5</v>
      </c>
      <c r="AL49" s="4" t="s">
        <v>236</v>
      </c>
      <c r="AY49" s="17">
        <f>IF((R40="BASP2")*AND(R41&lt;&gt;""),VLOOKUP(R41,Barema!$BP$39:$BQ$69,2),)</f>
        <v>0</v>
      </c>
      <c r="AZ49" s="4" t="s">
        <v>707</v>
      </c>
      <c r="BB49" s="2"/>
    </row>
    <row r="50" spans="3:54" x14ac:dyDescent="0.2">
      <c r="C50" s="4" t="s">
        <v>237</v>
      </c>
      <c r="F50" s="4"/>
      <c r="G50" s="4"/>
      <c r="J50" s="15" t="s">
        <v>240</v>
      </c>
      <c r="K50" s="4"/>
      <c r="L50" s="4"/>
      <c r="M50" s="118">
        <f>AM38</f>
        <v>0</v>
      </c>
      <c r="N50" s="4" t="s">
        <v>241</v>
      </c>
      <c r="O50" s="80"/>
      <c r="P50" s="1"/>
      <c r="Q50" s="1"/>
      <c r="R50" s="1"/>
      <c r="S50" s="15"/>
      <c r="T50" s="80"/>
      <c r="U50" s="325">
        <f>AM39</f>
        <v>0</v>
      </c>
      <c r="V50" s="19" t="s">
        <v>215</v>
      </c>
      <c r="W50" s="106"/>
      <c r="X50" s="1"/>
      <c r="AB50" s="4"/>
      <c r="AG50" s="4"/>
      <c r="AH50" s="4"/>
      <c r="AI50" s="4"/>
      <c r="AY50" s="17">
        <f>IF((R40="BASP3")*AND(R41&lt;&gt;""),VLOOKUP(R41,Barema!$BS$39:$BT$69,2),)</f>
        <v>0</v>
      </c>
      <c r="AZ50" s="4" t="s">
        <v>708</v>
      </c>
      <c r="BB50" s="2"/>
    </row>
    <row r="51" spans="3:54" x14ac:dyDescent="0.2">
      <c r="C51" s="4" t="s">
        <v>239</v>
      </c>
      <c r="F51" s="4"/>
      <c r="G51" s="133">
        <v>0</v>
      </c>
      <c r="I51" s="4"/>
      <c r="J51" s="15" t="s">
        <v>244</v>
      </c>
      <c r="K51" s="1"/>
      <c r="L51" s="4"/>
      <c r="M51" s="65">
        <f>SUM(X7:X37)</f>
        <v>0</v>
      </c>
      <c r="N51" s="4" t="s">
        <v>245</v>
      </c>
      <c r="O51" s="4"/>
      <c r="P51" s="4"/>
      <c r="Q51" s="4"/>
      <c r="R51" s="4"/>
      <c r="S51" s="15"/>
      <c r="T51" s="120"/>
      <c r="U51" s="325">
        <f>(M51*Data!$S$13)</f>
        <v>0</v>
      </c>
      <c r="V51" s="19" t="s">
        <v>215</v>
      </c>
      <c r="W51" s="106"/>
      <c r="X51" s="1"/>
      <c r="AB51" s="4">
        <f>IF(MINUTE(AB47)&gt;0,FLOOR(AE47,0.041666667),AE47)</f>
        <v>0</v>
      </c>
      <c r="AF51" s="4"/>
      <c r="AG51" s="4" t="s">
        <v>153</v>
      </c>
      <c r="AH51" s="4">
        <f>AH42*0.00325*0.9645*AK49</f>
        <v>0</v>
      </c>
      <c r="AI51" s="4"/>
      <c r="AK51" s="62">
        <f>AK43/100*20</f>
        <v>3.4191993951369732</v>
      </c>
      <c r="AL51" s="4" t="s">
        <v>242</v>
      </c>
      <c r="AY51" s="17">
        <f>IF((R40="BASP4")*AND(R41&lt;&gt;""),VLOOKUP(R41,Barema!$BV$39:$BW$69,2),)</f>
        <v>0</v>
      </c>
      <c r="AZ51" s="4" t="s">
        <v>709</v>
      </c>
      <c r="BB51" s="2"/>
    </row>
    <row r="52" spans="3:54" x14ac:dyDescent="0.2">
      <c r="C52" s="166" t="s">
        <v>243</v>
      </c>
      <c r="J52" s="15" t="s">
        <v>247</v>
      </c>
      <c r="K52" s="4"/>
      <c r="L52" s="4"/>
      <c r="M52" s="141">
        <f>AH54</f>
        <v>0</v>
      </c>
      <c r="N52" s="4" t="s">
        <v>214</v>
      </c>
      <c r="O52" s="4"/>
      <c r="P52" s="4"/>
      <c r="Q52" s="4"/>
      <c r="R52" s="4"/>
      <c r="S52" s="15"/>
      <c r="T52" s="80"/>
      <c r="U52" s="325">
        <f>(M52*AK54/0.041666667)</f>
        <v>0</v>
      </c>
      <c r="V52" s="19" t="s">
        <v>215</v>
      </c>
      <c r="W52" s="106"/>
      <c r="X52" s="1"/>
      <c r="AK52" s="62">
        <f>AK43/100*35</f>
        <v>5.9835989414897028</v>
      </c>
      <c r="AL52" s="4" t="s">
        <v>246</v>
      </c>
      <c r="BB52" s="2"/>
    </row>
    <row r="53" spans="3:54" x14ac:dyDescent="0.2">
      <c r="J53" s="15" t="s">
        <v>249</v>
      </c>
      <c r="K53" s="4"/>
      <c r="L53" s="4"/>
      <c r="M53" s="141">
        <f>AH55</f>
        <v>0</v>
      </c>
      <c r="N53" s="4" t="s">
        <v>214</v>
      </c>
      <c r="O53" s="4"/>
      <c r="P53" s="4"/>
      <c r="Q53" s="4"/>
      <c r="R53" s="4"/>
      <c r="S53" s="15"/>
      <c r="T53" s="80"/>
      <c r="U53" s="325">
        <f>(M53*AK55/0.041666667)</f>
        <v>0</v>
      </c>
      <c r="V53" s="19" t="s">
        <v>215</v>
      </c>
      <c r="W53" s="106"/>
      <c r="X53" s="1"/>
      <c r="AK53" s="142"/>
      <c r="BB53" s="2"/>
    </row>
    <row r="54" spans="3:54" x14ac:dyDescent="0.2">
      <c r="C54" s="24" t="s">
        <v>248</v>
      </c>
      <c r="F54" s="4"/>
      <c r="G54" s="4"/>
      <c r="H54" s="4"/>
      <c r="J54" s="16" t="s">
        <v>250</v>
      </c>
      <c r="K54" s="17"/>
      <c r="L54" s="17"/>
      <c r="M54" s="203">
        <f>AU38</f>
        <v>0</v>
      </c>
      <c r="N54" s="17" t="s">
        <v>241</v>
      </c>
      <c r="O54" s="17"/>
      <c r="P54" s="17"/>
      <c r="Q54" s="17"/>
      <c r="R54" s="17"/>
      <c r="S54" s="16"/>
      <c r="T54" s="17"/>
      <c r="U54" s="326">
        <f>(M54*(2.81*AA40))/100*(100-Y44)</f>
        <v>0</v>
      </c>
      <c r="V54" s="20" t="s">
        <v>215</v>
      </c>
      <c r="W54" s="106"/>
      <c r="X54" s="1"/>
      <c r="AE54" s="78">
        <f>SUM(Y7:Y37)</f>
        <v>0</v>
      </c>
      <c r="AF54" s="10">
        <f>IF(MINUTE(AE54)&gt;=30,AE54+0.041666667,AE54)</f>
        <v>0</v>
      </c>
      <c r="AG54" s="10"/>
      <c r="AH54" s="10">
        <f>IF(MINUTE(AF54)&gt;0,FLOOR(AF54,0.041666667),AF54)</f>
        <v>0</v>
      </c>
      <c r="AI54" s="10"/>
      <c r="AJ54" s="10"/>
      <c r="AK54" s="130">
        <f>AK43/24</f>
        <v>0.71233320732020278</v>
      </c>
      <c r="AL54" s="10" t="s">
        <v>247</v>
      </c>
      <c r="AM54" s="10"/>
      <c r="AN54" s="10"/>
      <c r="AO54" s="10"/>
      <c r="AP54" s="86"/>
      <c r="BB54" s="2"/>
    </row>
    <row r="55" spans="3:54" x14ac:dyDescent="0.2">
      <c r="C55" s="24" t="s">
        <v>239</v>
      </c>
      <c r="F55" s="4"/>
      <c r="G55" s="121">
        <v>0</v>
      </c>
      <c r="H55" s="4"/>
      <c r="L55" s="70" t="s">
        <v>130</v>
      </c>
      <c r="M55" s="73"/>
      <c r="N55" s="16"/>
      <c r="O55" s="71"/>
      <c r="P55" s="64"/>
      <c r="Q55" s="64"/>
      <c r="R55" s="64"/>
      <c r="S55" s="16"/>
      <c r="T55" s="72"/>
      <c r="U55" s="326">
        <f>SUM(U42:U54)</f>
        <v>0</v>
      </c>
      <c r="V55" s="20" t="s">
        <v>215</v>
      </c>
      <c r="W55" s="106"/>
      <c r="X55" s="1"/>
      <c r="AE55" s="16">
        <f>SUM(Z7:Z37)</f>
        <v>0</v>
      </c>
      <c r="AF55" s="17">
        <f>IF(MINUTE(AE55)&gt;=30,AE55+0.041666667,AE55)</f>
        <v>0</v>
      </c>
      <c r="AG55" s="17"/>
      <c r="AH55" s="17">
        <f>IF(MINUTE(AF55)&gt;0,FLOOR(AF55,0.041666667),AF55)</f>
        <v>0</v>
      </c>
      <c r="AI55" s="17"/>
      <c r="AJ55" s="17"/>
      <c r="AK55" s="131">
        <f>AK43/15</f>
        <v>1.1397331317123245</v>
      </c>
      <c r="AL55" s="17" t="s">
        <v>251</v>
      </c>
      <c r="AM55" s="17"/>
      <c r="AN55" s="17"/>
      <c r="AO55" s="17"/>
      <c r="AP55" s="83"/>
      <c r="AY55" s="4">
        <f>SUM(AY7:AY53)</f>
        <v>33228</v>
      </c>
      <c r="BB55" s="2"/>
    </row>
    <row r="56" spans="3:54" x14ac:dyDescent="0.2">
      <c r="C56" s="166" t="s">
        <v>243</v>
      </c>
      <c r="E56" s="4"/>
      <c r="F56" s="1"/>
      <c r="G56" s="4"/>
      <c r="H56" s="4"/>
      <c r="W56" s="106"/>
      <c r="X56" s="1"/>
      <c r="BB56" s="2"/>
    </row>
    <row r="57" spans="3:54" x14ac:dyDescent="0.2">
      <c r="BB57" s="2"/>
    </row>
    <row r="58" spans="3:54" x14ac:dyDescent="0.2">
      <c r="BB58" s="2"/>
    </row>
    <row r="60" spans="3:54" x14ac:dyDescent="0.2">
      <c r="J60" s="4"/>
      <c r="K60" s="4"/>
      <c r="L60" s="4"/>
      <c r="M60" s="70"/>
      <c r="N60" s="70"/>
      <c r="O60" s="4"/>
      <c r="S60" s="4"/>
      <c r="T60" s="1"/>
      <c r="U60" s="1"/>
      <c r="V60" s="4"/>
    </row>
    <row r="61" spans="3:54" x14ac:dyDescent="0.2">
      <c r="F61" s="4"/>
      <c r="G61" s="1"/>
      <c r="H61" s="4"/>
      <c r="I61" s="4"/>
      <c r="J61" s="4"/>
      <c r="K61" s="4"/>
      <c r="L61" s="4"/>
      <c r="M61" s="70"/>
      <c r="N61" s="70"/>
      <c r="O61" s="4"/>
      <c r="S61" s="4"/>
      <c r="T61" s="1"/>
      <c r="U61" s="1"/>
      <c r="V61" s="4"/>
      <c r="W61" s="4"/>
      <c r="X61" s="54"/>
      <c r="Y61" s="2"/>
    </row>
    <row r="62" spans="3:54" x14ac:dyDescent="0.2">
      <c r="F62" s="4"/>
      <c r="G62" s="1"/>
      <c r="H62" s="4"/>
      <c r="I62" s="4"/>
      <c r="U62" s="2"/>
      <c r="W62" s="4"/>
      <c r="X62" s="62"/>
      <c r="Y62" s="4"/>
    </row>
    <row r="63" spans="3:54" x14ac:dyDescent="0.2">
      <c r="F63" s="1"/>
    </row>
  </sheetData>
  <sheetProtection algorithmName="SHA-512" hashValue="7kEP+wffpzGaXVTvuBZTtaS1Od0rshZlRaZCWWbWmnRRDC8zCPnoCEZ0SkxmFFZzesYVGyX2wwiAN/m5Ube1xg==" saltValue="yBqCVbnFnMTD0zabH5sN4A==" spinCount="100000" sheet="1" objects="1" scenarios="1"/>
  <mergeCells count="2">
    <mergeCell ref="R40:S40"/>
    <mergeCell ref="R41:S41"/>
  </mergeCells>
  <phoneticPr fontId="0" type="noConversion"/>
  <conditionalFormatting sqref="F8:G10">
    <cfRule type="timePeriod" dxfId="29" priority="1" timePeriod="lastWeek">
      <formula>AND(TODAY()-ROUNDDOWN(F8,0)&gt;=(WEEKDAY(TODAY())),TODAY()-ROUNDDOWN(F8,0)&lt;(WEEKDAY(TODAY())+7))</formula>
    </cfRule>
  </conditionalFormatting>
  <conditionalFormatting sqref="F21:G24">
    <cfRule type="timePeriod" dxfId="28" priority="6" timePeriod="lastWeek">
      <formula>AND(TODAY()-ROUNDDOWN(F21,0)&gt;=(WEEKDAY(TODAY())),TODAY()-ROUNDDOWN(F21,0)&lt;(WEEKDAY(TODAY())+7))</formula>
    </cfRule>
  </conditionalFormatting>
  <conditionalFormatting sqref="F29:G31">
    <cfRule type="timePeriod" dxfId="27" priority="2" timePeriod="lastWeek">
      <formula>AND(TODAY()-ROUNDDOWN(F29,0)&gt;=(WEEKDAY(TODAY())),TODAY()-ROUNDDOWN(F29,0)&lt;(WEEKDAY(TODAY())+7))</formula>
    </cfRule>
  </conditionalFormatting>
  <conditionalFormatting sqref="F34:G37">
    <cfRule type="timePeriod" dxfId="26" priority="4" timePeriod="lastWeek">
      <formula>AND(TODAY()-ROUNDDOWN(F34,0)&gt;=(WEEKDAY(TODAY())),TODAY()-ROUNDDOWN(F34,0)&lt;(WEEKDAY(TODAY())+7))</formula>
    </cfRule>
  </conditionalFormatting>
  <pageMargins left="0.39370078740157483" right="0.39370078740157483" top="0.39370078740157483" bottom="0.39370078740157483" header="0.51181102362204722" footer="0.51181102362204722"/>
  <pageSetup paperSize="9" scale="70" orientation="landscape" horizontalDpi="300" verticalDpi="300" r:id="rId1"/>
  <headerFooter alignWithMargins="0"/>
  <ignoredErrors>
    <ignoredError sqref="Q7:T37" unlockedFormula="1"/>
    <ignoredError xmlns:x16r3="http://schemas.microsoft.com/office/spreadsheetml/2018/08/main" sqref="M52:M53" x16r3:misleadingForma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15</vt:i4>
      </vt:variant>
    </vt:vector>
  </HeadingPairs>
  <TitlesOfParts>
    <vt:vector size="15" baseType="lpstr">
      <vt:lpstr>Barema</vt:lpstr>
      <vt:lpstr>Data</vt:lpstr>
      <vt:lpstr>Jan</vt:lpstr>
      <vt:lpstr>Feb</vt:lpstr>
      <vt:lpstr>Mar</vt:lpstr>
      <vt:lpstr>Apr</vt:lpstr>
      <vt:lpstr>Mei</vt:lpstr>
      <vt:lpstr>Jun</vt:lpstr>
      <vt:lpstr>Jul</vt:lpstr>
      <vt:lpstr>Aug</vt:lpstr>
      <vt:lpstr>Sep</vt:lpstr>
      <vt:lpstr>Okt</vt:lpstr>
      <vt:lpstr>Nov</vt:lpstr>
      <vt:lpstr>Dec</vt:lpstr>
      <vt:lpstr>Ex-Gd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Uurzakboekje 2026 v2</dc:title>
  <dc:subject/>
  <dc:creator/>
  <dc:description/>
  <cp:lastModifiedBy/>
  <dcterms:created xsi:type="dcterms:W3CDTF">2025-11-14T19:18:28Z</dcterms:created>
  <dcterms:modified xsi:type="dcterms:W3CDTF">2025-11-17T18:06:05Z</dcterms:modified>
</cp:coreProperties>
</file>